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1680" windowWidth="20610" windowHeight="787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25725"/>
</workbook>
</file>

<file path=xl/calcChain.xml><?xml version="1.0" encoding="utf-8"?>
<calcChain xmlns="http://schemas.openxmlformats.org/spreadsheetml/2006/main">
  <c r="B128" i="7"/>
  <c r="B127"/>
  <c r="B130"/>
  <c r="B129"/>
  <c r="P45"/>
  <c r="Q45" s="1"/>
  <c r="P2"/>
  <c r="B142"/>
  <c r="B141"/>
  <c r="B144"/>
  <c r="B143"/>
  <c r="R45"/>
  <c r="S45" s="1"/>
  <c r="R2"/>
  <c r="B114"/>
  <c r="B113"/>
  <c r="B116"/>
  <c r="B115"/>
  <c r="N45"/>
  <c r="O45" s="1"/>
  <c r="N2"/>
  <c r="B100"/>
  <c r="B99"/>
  <c r="B86"/>
  <c r="B85"/>
  <c r="B102"/>
  <c r="B101"/>
  <c r="L45"/>
  <c r="M45" s="1"/>
  <c r="L2"/>
  <c r="B72"/>
  <c r="B71"/>
  <c r="B58"/>
  <c r="B57"/>
  <c r="B88"/>
  <c r="B87"/>
  <c r="J45"/>
  <c r="K45" s="1"/>
  <c r="J2"/>
  <c r="B74"/>
  <c r="B73"/>
  <c r="H45"/>
  <c r="I45" s="1"/>
  <c r="H2"/>
  <c r="B60"/>
  <c r="B59"/>
  <c r="F45"/>
  <c r="G45" s="1"/>
  <c r="F2"/>
  <c r="B46"/>
  <c r="B45"/>
  <c r="T45"/>
  <c r="T2"/>
  <c r="X2" l="1"/>
  <c r="P3" s="1"/>
  <c r="P4" s="1"/>
  <c r="P5" s="1"/>
  <c r="P6" s="1"/>
  <c r="P7" s="1"/>
  <c r="P8" s="1"/>
  <c r="P9" s="1"/>
  <c r="P10" s="1"/>
  <c r="P11" s="1"/>
  <c r="P12" s="1"/>
  <c r="P13" s="1"/>
  <c r="P14" s="1"/>
  <c r="P15" s="1"/>
  <c r="P16" s="1"/>
  <c r="P17" s="1"/>
  <c r="P18" s="1"/>
  <c r="P19" s="1"/>
  <c r="P20" s="1"/>
  <c r="P21" s="1"/>
  <c r="P22" s="1"/>
  <c r="P23" s="1"/>
  <c r="P24" s="1"/>
  <c r="P25" s="1"/>
  <c r="P26" s="1"/>
  <c r="P27" s="1"/>
  <c r="P28" s="1"/>
  <c r="P29" s="1"/>
  <c r="P30" s="1"/>
  <c r="P31" s="1"/>
  <c r="P32" s="1"/>
  <c r="P33" s="1"/>
  <c r="P34" s="1"/>
  <c r="P35" s="1"/>
  <c r="P36" s="1"/>
  <c r="P37" s="1"/>
  <c r="P38" s="1"/>
  <c r="P39" s="1"/>
  <c r="P40" s="1"/>
  <c r="P41" s="1"/>
  <c r="P42" s="1"/>
  <c r="P43" s="1"/>
  <c r="P44" s="1"/>
  <c r="D45"/>
  <c r="D2"/>
  <c r="B43" s="1"/>
  <c r="U45"/>
  <c r="E45" l="1"/>
  <c r="B44"/>
  <c r="Q3"/>
  <c r="Q2"/>
  <c r="R3"/>
  <c r="R4" s="1"/>
  <c r="S3" s="1"/>
  <c r="T3"/>
  <c r="L3"/>
  <c r="M2" s="1"/>
  <c r="N3"/>
  <c r="H3"/>
  <c r="J3"/>
  <c r="D3"/>
  <c r="D4" s="1"/>
  <c r="E3" s="1"/>
  <c r="F3"/>
  <c r="U2"/>
  <c r="Q5" l="1"/>
  <c r="Q4"/>
  <c r="S2"/>
  <c r="T4"/>
  <c r="R5"/>
  <c r="S4" s="1"/>
  <c r="N4"/>
  <c r="O2"/>
  <c r="L4"/>
  <c r="L5" s="1"/>
  <c r="L6" s="1"/>
  <c r="L7" s="1"/>
  <c r="L8" s="1"/>
  <c r="L9" s="1"/>
  <c r="L10" s="1"/>
  <c r="L11" s="1"/>
  <c r="L12" s="1"/>
  <c r="L13" s="1"/>
  <c r="L14" s="1"/>
  <c r="L15" s="1"/>
  <c r="L16" s="1"/>
  <c r="L17" s="1"/>
  <c r="L18" s="1"/>
  <c r="L19" s="1"/>
  <c r="L20" s="1"/>
  <c r="L21" s="1"/>
  <c r="L22" s="1"/>
  <c r="L23" s="1"/>
  <c r="L24" s="1"/>
  <c r="L25" s="1"/>
  <c r="L26" s="1"/>
  <c r="L27" s="1"/>
  <c r="L28" s="1"/>
  <c r="L29" s="1"/>
  <c r="L30" s="1"/>
  <c r="L31" s="1"/>
  <c r="L32" s="1"/>
  <c r="L33" s="1"/>
  <c r="L34" s="1"/>
  <c r="L35" s="1"/>
  <c r="L36" s="1"/>
  <c r="L37" s="1"/>
  <c r="L38" s="1"/>
  <c r="L39" s="1"/>
  <c r="L40" s="1"/>
  <c r="L41" s="1"/>
  <c r="L42" s="1"/>
  <c r="L43" s="1"/>
  <c r="L44" s="1"/>
  <c r="I2"/>
  <c r="J4"/>
  <c r="K2"/>
  <c r="H4"/>
  <c r="H5" s="1"/>
  <c r="E2"/>
  <c r="F4"/>
  <c r="G2"/>
  <c r="D5"/>
  <c r="E4" s="1"/>
  <c r="U3"/>
  <c r="Q6" l="1"/>
  <c r="T5"/>
  <c r="M3"/>
  <c r="R6"/>
  <c r="S5" s="1"/>
  <c r="I3"/>
  <c r="N5"/>
  <c r="O3"/>
  <c r="M4"/>
  <c r="M5"/>
  <c r="M6"/>
  <c r="J5"/>
  <c r="K3"/>
  <c r="H6"/>
  <c r="I5" s="1"/>
  <c r="I4"/>
  <c r="F5"/>
  <c r="G3"/>
  <c r="D6"/>
  <c r="E5" s="1"/>
  <c r="U4"/>
  <c r="Q7" l="1"/>
  <c r="T6"/>
  <c r="R7"/>
  <c r="S6" s="1"/>
  <c r="N6"/>
  <c r="O4"/>
  <c r="M7"/>
  <c r="J6"/>
  <c r="K4"/>
  <c r="H7"/>
  <c r="I6" s="1"/>
  <c r="F6"/>
  <c r="G4"/>
  <c r="D7"/>
  <c r="E6" s="1"/>
  <c r="U5"/>
  <c r="T7" l="1"/>
  <c r="R8"/>
  <c r="N7"/>
  <c r="O5"/>
  <c r="M8"/>
  <c r="J7"/>
  <c r="K6" s="1"/>
  <c r="K5"/>
  <c r="H8"/>
  <c r="F7"/>
  <c r="G6" s="1"/>
  <c r="G5"/>
  <c r="D8"/>
  <c r="E7" s="1"/>
  <c r="U6"/>
  <c r="Q9" l="1"/>
  <c r="Q8"/>
  <c r="T8"/>
  <c r="R9"/>
  <c r="S7"/>
  <c r="N8"/>
  <c r="O6"/>
  <c r="M9"/>
  <c r="J8"/>
  <c r="K7" s="1"/>
  <c r="H9"/>
  <c r="I8" s="1"/>
  <c r="I7"/>
  <c r="F8"/>
  <c r="D9"/>
  <c r="E8" s="1"/>
  <c r="U7"/>
  <c r="Q10" l="1"/>
  <c r="T9"/>
  <c r="R10"/>
  <c r="S9" s="1"/>
  <c r="S8"/>
  <c r="N9"/>
  <c r="O8" s="1"/>
  <c r="O7"/>
  <c r="M10"/>
  <c r="J9"/>
  <c r="K8" s="1"/>
  <c r="H10"/>
  <c r="I9" s="1"/>
  <c r="F9"/>
  <c r="G8" s="1"/>
  <c r="G7"/>
  <c r="D10"/>
  <c r="E9" s="1"/>
  <c r="U8"/>
  <c r="Q11" l="1"/>
  <c r="T10"/>
  <c r="R11"/>
  <c r="S10" s="1"/>
  <c r="N10"/>
  <c r="O9" s="1"/>
  <c r="M11"/>
  <c r="J10"/>
  <c r="K9" s="1"/>
  <c r="H11"/>
  <c r="I10" s="1"/>
  <c r="F10"/>
  <c r="G9" s="1"/>
  <c r="D11"/>
  <c r="E10" s="1"/>
  <c r="U9"/>
  <c r="Q12" l="1"/>
  <c r="T11"/>
  <c r="R12"/>
  <c r="S11" s="1"/>
  <c r="N11"/>
  <c r="O10" s="1"/>
  <c r="M12"/>
  <c r="J11"/>
  <c r="K10" s="1"/>
  <c r="H12"/>
  <c r="I11" s="1"/>
  <c r="F11"/>
  <c r="G10" s="1"/>
  <c r="D12"/>
  <c r="E11" s="1"/>
  <c r="U10"/>
  <c r="Q13" l="1"/>
  <c r="T12"/>
  <c r="R13"/>
  <c r="S12" s="1"/>
  <c r="N12"/>
  <c r="O11" s="1"/>
  <c r="M13"/>
  <c r="J12"/>
  <c r="K11" s="1"/>
  <c r="H13"/>
  <c r="I12" s="1"/>
  <c r="F12"/>
  <c r="G11" s="1"/>
  <c r="D13"/>
  <c r="E12" s="1"/>
  <c r="U11"/>
  <c r="Q14" l="1"/>
  <c r="T13"/>
  <c r="R14"/>
  <c r="S13" s="1"/>
  <c r="N13"/>
  <c r="O12" s="1"/>
  <c r="M14"/>
  <c r="J13"/>
  <c r="K12" s="1"/>
  <c r="H14"/>
  <c r="I13" s="1"/>
  <c r="F13"/>
  <c r="G12" s="1"/>
  <c r="D14"/>
  <c r="E13" s="1"/>
  <c r="U12"/>
  <c r="Q15" l="1"/>
  <c r="T14"/>
  <c r="R15"/>
  <c r="N14"/>
  <c r="O13" s="1"/>
  <c r="M15"/>
  <c r="J14"/>
  <c r="K13" s="1"/>
  <c r="H15"/>
  <c r="I14" s="1"/>
  <c r="F14"/>
  <c r="G13" s="1"/>
  <c r="D15"/>
  <c r="E14" s="1"/>
  <c r="U13"/>
  <c r="Q16" l="1"/>
  <c r="T15"/>
  <c r="R16"/>
  <c r="S15" s="1"/>
  <c r="S14"/>
  <c r="N15"/>
  <c r="O14" s="1"/>
  <c r="M16"/>
  <c r="J15"/>
  <c r="K14" s="1"/>
  <c r="H16"/>
  <c r="I15" s="1"/>
  <c r="F15"/>
  <c r="G14" s="1"/>
  <c r="D16"/>
  <c r="E15" s="1"/>
  <c r="U14"/>
  <c r="Q17" l="1"/>
  <c r="T16"/>
  <c r="R17"/>
  <c r="N16"/>
  <c r="O15" s="1"/>
  <c r="M17"/>
  <c r="J16"/>
  <c r="K15" s="1"/>
  <c r="H17"/>
  <c r="I16" s="1"/>
  <c r="F16"/>
  <c r="G15" s="1"/>
  <c r="D17"/>
  <c r="E16" s="1"/>
  <c r="U15"/>
  <c r="Q18" l="1"/>
  <c r="T17"/>
  <c r="R18"/>
  <c r="S16"/>
  <c r="N17"/>
  <c r="O16" s="1"/>
  <c r="M18"/>
  <c r="J17"/>
  <c r="K16" s="1"/>
  <c r="H18"/>
  <c r="I17" s="1"/>
  <c r="F17"/>
  <c r="G16" s="1"/>
  <c r="D18"/>
  <c r="E17" s="1"/>
  <c r="U16"/>
  <c r="Q19" l="1"/>
  <c r="T18"/>
  <c r="R19"/>
  <c r="S18" s="1"/>
  <c r="S17"/>
  <c r="N18"/>
  <c r="O17" s="1"/>
  <c r="M19"/>
  <c r="J18"/>
  <c r="K17" s="1"/>
  <c r="H19"/>
  <c r="I18" s="1"/>
  <c r="F18"/>
  <c r="G17" s="1"/>
  <c r="D19"/>
  <c r="E18" s="1"/>
  <c r="U17"/>
  <c r="Q20" l="1"/>
  <c r="T19"/>
  <c r="R20"/>
  <c r="S19" s="1"/>
  <c r="N19"/>
  <c r="O18" s="1"/>
  <c r="M20"/>
  <c r="J19"/>
  <c r="K18" s="1"/>
  <c r="H20"/>
  <c r="I19" s="1"/>
  <c r="F19"/>
  <c r="G18" s="1"/>
  <c r="D20"/>
  <c r="E19" s="1"/>
  <c r="U18"/>
  <c r="Q21" l="1"/>
  <c r="T20"/>
  <c r="R21"/>
  <c r="S20" s="1"/>
  <c r="N20"/>
  <c r="O19" s="1"/>
  <c r="M21"/>
  <c r="J20"/>
  <c r="K19" s="1"/>
  <c r="H21"/>
  <c r="I20" s="1"/>
  <c r="F20"/>
  <c r="G19" s="1"/>
  <c r="D21"/>
  <c r="E20" s="1"/>
  <c r="U19"/>
  <c r="T21" l="1"/>
  <c r="R22"/>
  <c r="S21" s="1"/>
  <c r="N21"/>
  <c r="O20" s="1"/>
  <c r="M22"/>
  <c r="J21"/>
  <c r="K20" s="1"/>
  <c r="H22"/>
  <c r="I21" s="1"/>
  <c r="F21"/>
  <c r="G20" s="1"/>
  <c r="D22"/>
  <c r="E21" s="1"/>
  <c r="U20"/>
  <c r="Q22" l="1"/>
  <c r="T22"/>
  <c r="R23"/>
  <c r="S22" s="1"/>
  <c r="N22"/>
  <c r="O21" s="1"/>
  <c r="M23"/>
  <c r="J22"/>
  <c r="K21" s="1"/>
  <c r="H23"/>
  <c r="I22" s="1"/>
  <c r="F22"/>
  <c r="G21" s="1"/>
  <c r="D23"/>
  <c r="E22" s="1"/>
  <c r="U21"/>
  <c r="Q23" l="1"/>
  <c r="T23"/>
  <c r="R24"/>
  <c r="S23" s="1"/>
  <c r="N23"/>
  <c r="O22" s="1"/>
  <c r="M24"/>
  <c r="J23"/>
  <c r="K22" s="1"/>
  <c r="H24"/>
  <c r="I23" s="1"/>
  <c r="F23"/>
  <c r="G22" s="1"/>
  <c r="D24"/>
  <c r="E23" s="1"/>
  <c r="U22"/>
  <c r="Q24" l="1"/>
  <c r="T24"/>
  <c r="R25"/>
  <c r="S24" s="1"/>
  <c r="N24"/>
  <c r="O23" s="1"/>
  <c r="M25"/>
  <c r="J24"/>
  <c r="K23" s="1"/>
  <c r="H25"/>
  <c r="I24" s="1"/>
  <c r="F24"/>
  <c r="G23" s="1"/>
  <c r="D25"/>
  <c r="E24" s="1"/>
  <c r="U23"/>
  <c r="Q25" l="1"/>
  <c r="T25"/>
  <c r="R26"/>
  <c r="S25" s="1"/>
  <c r="N25"/>
  <c r="O24" s="1"/>
  <c r="M26"/>
  <c r="J25"/>
  <c r="K24" s="1"/>
  <c r="H26"/>
  <c r="I25" s="1"/>
  <c r="F25"/>
  <c r="G24" s="1"/>
  <c r="D26"/>
  <c r="E25" s="1"/>
  <c r="U24"/>
  <c r="Q26" l="1"/>
  <c r="T26"/>
  <c r="R27"/>
  <c r="S26" s="1"/>
  <c r="N26"/>
  <c r="O25" s="1"/>
  <c r="M27"/>
  <c r="J26"/>
  <c r="K25" s="1"/>
  <c r="H27"/>
  <c r="I26" s="1"/>
  <c r="F26"/>
  <c r="G25" s="1"/>
  <c r="D27"/>
  <c r="E26" s="1"/>
  <c r="U25"/>
  <c r="Q27" l="1"/>
  <c r="T27"/>
  <c r="R28"/>
  <c r="S27" s="1"/>
  <c r="N27"/>
  <c r="O26" s="1"/>
  <c r="M28"/>
  <c r="J27"/>
  <c r="K26" s="1"/>
  <c r="H28"/>
  <c r="I27" s="1"/>
  <c r="F27"/>
  <c r="G26" s="1"/>
  <c r="D28"/>
  <c r="E27" s="1"/>
  <c r="U26"/>
  <c r="Q28" l="1"/>
  <c r="T28"/>
  <c r="R29"/>
  <c r="S28" s="1"/>
  <c r="N28"/>
  <c r="O27" s="1"/>
  <c r="M29"/>
  <c r="J28"/>
  <c r="K27" s="1"/>
  <c r="H29"/>
  <c r="I28" s="1"/>
  <c r="F28"/>
  <c r="G27" s="1"/>
  <c r="D29"/>
  <c r="E28" s="1"/>
  <c r="U27"/>
  <c r="Q29" l="1"/>
  <c r="T29"/>
  <c r="R30"/>
  <c r="N29"/>
  <c r="O28" s="1"/>
  <c r="M30"/>
  <c r="J29"/>
  <c r="K28" s="1"/>
  <c r="H30"/>
  <c r="I29" s="1"/>
  <c r="F29"/>
  <c r="G28" s="1"/>
  <c r="D30"/>
  <c r="E29" s="1"/>
  <c r="U28"/>
  <c r="Q30" l="1"/>
  <c r="T30"/>
  <c r="R31"/>
  <c r="S30" s="1"/>
  <c r="S29"/>
  <c r="N30"/>
  <c r="O29" s="1"/>
  <c r="M31"/>
  <c r="J30"/>
  <c r="K29" s="1"/>
  <c r="H31"/>
  <c r="I30" s="1"/>
  <c r="F30"/>
  <c r="G29" s="1"/>
  <c r="D31"/>
  <c r="E30" s="1"/>
  <c r="U29"/>
  <c r="Q31" l="1"/>
  <c r="T31"/>
  <c r="R32"/>
  <c r="S31" s="1"/>
  <c r="N31"/>
  <c r="O30" s="1"/>
  <c r="M32"/>
  <c r="J31"/>
  <c r="K30" s="1"/>
  <c r="H32"/>
  <c r="I31" s="1"/>
  <c r="F31"/>
  <c r="G30" s="1"/>
  <c r="D32"/>
  <c r="E31" s="1"/>
  <c r="U30"/>
  <c r="Q32" l="1"/>
  <c r="T32"/>
  <c r="R33"/>
  <c r="N32"/>
  <c r="O31" s="1"/>
  <c r="M33"/>
  <c r="J32"/>
  <c r="K31" s="1"/>
  <c r="H33"/>
  <c r="I32" s="1"/>
  <c r="F32"/>
  <c r="G31" s="1"/>
  <c r="D33"/>
  <c r="E32" s="1"/>
  <c r="U31"/>
  <c r="Q33" l="1"/>
  <c r="T33"/>
  <c r="R34"/>
  <c r="S33" s="1"/>
  <c r="S32"/>
  <c r="N33"/>
  <c r="O32" s="1"/>
  <c r="M34"/>
  <c r="J33"/>
  <c r="K32" s="1"/>
  <c r="H34"/>
  <c r="I33" s="1"/>
  <c r="F33"/>
  <c r="G32" s="1"/>
  <c r="D34"/>
  <c r="E33" s="1"/>
  <c r="U32"/>
  <c r="Q34" l="1"/>
  <c r="T34"/>
  <c r="R35"/>
  <c r="S34" s="1"/>
  <c r="N34"/>
  <c r="O33" s="1"/>
  <c r="M35"/>
  <c r="J34"/>
  <c r="K33" s="1"/>
  <c r="H35"/>
  <c r="I34" s="1"/>
  <c r="F34"/>
  <c r="G33" s="1"/>
  <c r="D35"/>
  <c r="E34" s="1"/>
  <c r="U33"/>
  <c r="Q35" l="1"/>
  <c r="T35"/>
  <c r="R36"/>
  <c r="S35" s="1"/>
  <c r="N35"/>
  <c r="O34" s="1"/>
  <c r="M36"/>
  <c r="J35"/>
  <c r="K34" s="1"/>
  <c r="H36"/>
  <c r="I35" s="1"/>
  <c r="F35"/>
  <c r="G34" s="1"/>
  <c r="D36"/>
  <c r="E35" s="1"/>
  <c r="U34"/>
  <c r="Q36" l="1"/>
  <c r="T36"/>
  <c r="R37"/>
  <c r="S36" s="1"/>
  <c r="N36"/>
  <c r="O35" s="1"/>
  <c r="M37"/>
  <c r="J36"/>
  <c r="K35" s="1"/>
  <c r="H37"/>
  <c r="I36" s="1"/>
  <c r="F36"/>
  <c r="G35" s="1"/>
  <c r="D37"/>
  <c r="E36" s="1"/>
  <c r="U35"/>
  <c r="Q37" l="1"/>
  <c r="T37"/>
  <c r="R38"/>
  <c r="S37" s="1"/>
  <c r="N37"/>
  <c r="O36" s="1"/>
  <c r="M38"/>
  <c r="J37"/>
  <c r="K36" s="1"/>
  <c r="H38"/>
  <c r="I37" s="1"/>
  <c r="F37"/>
  <c r="G36" s="1"/>
  <c r="D38"/>
  <c r="E37" s="1"/>
  <c r="U36"/>
  <c r="Q38" l="1"/>
  <c r="T38"/>
  <c r="R39"/>
  <c r="S38" s="1"/>
  <c r="N38"/>
  <c r="O37" s="1"/>
  <c r="M39"/>
  <c r="J38"/>
  <c r="K37" s="1"/>
  <c r="H39"/>
  <c r="I38" s="1"/>
  <c r="F38"/>
  <c r="G37" s="1"/>
  <c r="D39"/>
  <c r="E38" s="1"/>
  <c r="U37"/>
  <c r="Q39" l="1"/>
  <c r="T39"/>
  <c r="R40"/>
  <c r="S39" s="1"/>
  <c r="N39"/>
  <c r="O38" s="1"/>
  <c r="M40"/>
  <c r="J39"/>
  <c r="K38" s="1"/>
  <c r="H40"/>
  <c r="I39" s="1"/>
  <c r="F39"/>
  <c r="G38" s="1"/>
  <c r="D40"/>
  <c r="E39" s="1"/>
  <c r="U38"/>
  <c r="Q40" l="1"/>
  <c r="T40"/>
  <c r="R41"/>
  <c r="S40" s="1"/>
  <c r="N40"/>
  <c r="O39" s="1"/>
  <c r="M41"/>
  <c r="J40"/>
  <c r="K39" s="1"/>
  <c r="H41"/>
  <c r="I40" s="1"/>
  <c r="F40"/>
  <c r="G39" s="1"/>
  <c r="D41"/>
  <c r="E40" s="1"/>
  <c r="U39"/>
  <c r="Q41" l="1"/>
  <c r="T41"/>
  <c r="R42"/>
  <c r="S41" s="1"/>
  <c r="N41"/>
  <c r="O40" s="1"/>
  <c r="M42"/>
  <c r="J41"/>
  <c r="K40" s="1"/>
  <c r="H42"/>
  <c r="I41" s="1"/>
  <c r="F41"/>
  <c r="G40" s="1"/>
  <c r="D42"/>
  <c r="E41" s="1"/>
  <c r="U40"/>
  <c r="Q44" l="1"/>
  <c r="Q42"/>
  <c r="T42"/>
  <c r="R43"/>
  <c r="S42" s="1"/>
  <c r="N42"/>
  <c r="O41" s="1"/>
  <c r="M43"/>
  <c r="M44"/>
  <c r="J42"/>
  <c r="K41" s="1"/>
  <c r="H43"/>
  <c r="I42" s="1"/>
  <c r="F42"/>
  <c r="G41" s="1"/>
  <c r="D43"/>
  <c r="E42" s="1"/>
  <c r="U41"/>
  <c r="Q43" l="1"/>
  <c r="T43"/>
  <c r="R44"/>
  <c r="S44" s="1"/>
  <c r="N43"/>
  <c r="O42" s="1"/>
  <c r="J43"/>
  <c r="K42" s="1"/>
  <c r="H44"/>
  <c r="I44" s="1"/>
  <c r="F43"/>
  <c r="G42" s="1"/>
  <c r="D44"/>
  <c r="E44" s="1"/>
  <c r="U42"/>
  <c r="S43" l="1"/>
  <c r="T44"/>
  <c r="N44"/>
  <c r="O44" s="1"/>
  <c r="J44"/>
  <c r="K44" s="1"/>
  <c r="I43"/>
  <c r="F44"/>
  <c r="G44" s="1"/>
  <c r="E43"/>
  <c r="U44"/>
  <c r="O43" l="1"/>
  <c r="K43"/>
  <c r="G43"/>
  <c r="U43"/>
</calcChain>
</file>

<file path=xl/comments1.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color indexed="81"/>
            <rFont val="Tahoma"/>
            <family val="2"/>
          </rPr>
          <t xml:space="preserve">Edge Width
</t>
        </r>
        <r>
          <rPr>
            <sz val="8"/>
            <color indexed="81"/>
            <rFont val="Tahoma"/>
            <family val="2"/>
          </rPr>
          <t xml:space="preserve">
Enter an optional edge width between 1 and 10.</t>
        </r>
      </text>
    </comment>
    <comment ref="E2" authorId="1">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1">
      <text>
        <r>
          <rPr>
            <b/>
            <sz val="8"/>
            <color indexed="81"/>
            <rFont val="Tahoma"/>
            <family val="2"/>
          </rPr>
          <t xml:space="preserve">Edge 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Edge Label Font Size
</t>
        </r>
        <r>
          <rPr>
            <sz val="8"/>
            <color indexed="81"/>
            <rFont val="Tahoma"/>
            <family val="2"/>
          </rPr>
          <t>Enter an optional label font size between 8 and 72.</t>
        </r>
        <r>
          <rPr>
            <b/>
            <sz val="8"/>
            <color indexed="81"/>
            <rFont val="Tahoma"/>
            <family val="2"/>
          </rPr>
          <t xml:space="preserve">
</t>
        </r>
      </text>
    </comment>
    <comment ref="K2" authorId="1">
      <text>
        <r>
          <rPr>
            <b/>
            <sz val="8"/>
            <color indexed="81"/>
            <rFont val="Tahoma"/>
            <family val="2"/>
          </rPr>
          <t xml:space="preserve">Edge Reciprocated?
</t>
        </r>
        <r>
          <rPr>
            <sz val="8"/>
            <color indexed="81"/>
            <rFont val="Tahoma"/>
            <family val="2"/>
          </rPr>
          <t xml:space="preserve">
You can tell NodeXL to calculate this and other graph metrics by going to NodeXL, Analysis, Graph Metrics in the Ribbon.</t>
        </r>
        <r>
          <rPr>
            <sz val="9"/>
            <color indexed="81"/>
            <rFont val="Tahoma"/>
            <charset val="1"/>
          </rPr>
          <t xml:space="preserve">
</t>
        </r>
      </text>
    </comment>
    <comment ref="L2" authorId="0">
      <text>
        <r>
          <rPr>
            <b/>
            <sz val="8"/>
            <color indexed="81"/>
            <rFont val="Tahoma"/>
            <family val="2"/>
          </rPr>
          <t xml:space="preserve">Edge ID
</t>
        </r>
        <r>
          <rPr>
            <sz val="8"/>
            <color indexed="81"/>
            <rFont val="Tahoma"/>
            <family val="2"/>
          </rPr>
          <t>This is a unique ID that gets filled in automatically.  Do not edit this column.</t>
        </r>
      </text>
    </comment>
    <comment ref="N2" author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color indexed="81"/>
            <rFont val="Tahoma"/>
            <family val="2"/>
          </rPr>
          <t xml:space="preserve">Vertex Size
</t>
        </r>
        <r>
          <rPr>
            <sz val="8"/>
            <color indexed="81"/>
            <rFont val="Tahoma"/>
            <family val="2"/>
          </rPr>
          <t xml:space="preserve">
Enter an optional vertex size between 1 and 1,000.</t>
        </r>
      </text>
    </comment>
    <comment ref="E2" author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F2" authorId="0">
      <text>
        <r>
          <rPr>
            <b/>
            <sz val="8"/>
            <color indexed="81"/>
            <rFont val="Tahoma"/>
            <family val="2"/>
          </rPr>
          <t>Vertex 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I2" author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L2" author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R2" author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S2" authorId="0">
      <text>
        <r>
          <rPr>
            <b/>
            <sz val="8"/>
            <color indexed="81"/>
            <rFont val="Tahoma"/>
            <family val="2"/>
          </rPr>
          <t xml:space="preserve">Vertex In-Degree
</t>
        </r>
        <r>
          <rPr>
            <sz val="8"/>
            <color indexed="81"/>
            <rFont val="Tahoma"/>
            <family val="2"/>
          </rPr>
          <t xml:space="preserve">You can tell NodeXL to calculate this and other graph metrics by going to NodeXL, Analysis, Graph Metrics in the Ribbon.
</t>
        </r>
      </text>
    </comment>
    <comment ref="T2" authorId="0">
      <text>
        <r>
          <rPr>
            <b/>
            <sz val="8"/>
            <color indexed="81"/>
            <rFont val="Tahoma"/>
            <family val="2"/>
          </rPr>
          <t xml:space="preserve">Vertex Out-Degree
</t>
        </r>
        <r>
          <rPr>
            <sz val="8"/>
            <color indexed="81"/>
            <rFont val="Tahoma"/>
            <family val="2"/>
          </rPr>
          <t xml:space="preserve">You can tell NodeXL to calculate this and other graph metrics by going to NodeXL, Analysis, Graph Metrics in the Ribbon.
</t>
        </r>
      </text>
    </comment>
    <comment ref="U2" author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V2" author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W2" author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X2" authorId="2">
      <text>
        <r>
          <rPr>
            <b/>
            <sz val="8"/>
            <color indexed="81"/>
            <rFont val="Tahoma"/>
            <family val="2"/>
          </rPr>
          <t xml:space="preserve">Vertex PageRank
</t>
        </r>
        <r>
          <rPr>
            <sz val="8"/>
            <color indexed="81"/>
            <rFont val="Tahoma"/>
            <family val="2"/>
          </rPr>
          <t>You can tell NodeXL to calculate this and other graph metrics by going to NodeXL, Analysis, Graph Metrics in the Ribbon.</t>
        </r>
      </text>
    </comment>
    <comment ref="Y2" author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 ref="Z2" authorId="2">
      <text>
        <r>
          <rPr>
            <b/>
            <sz val="8"/>
            <color indexed="81"/>
            <rFont val="Tahoma"/>
            <family val="2"/>
          </rPr>
          <t>Vertex Reciprocated Pair Ratio</t>
        </r>
        <r>
          <rPr>
            <sz val="8"/>
            <color indexed="81"/>
            <rFont val="Tahoma"/>
            <family val="2"/>
          </rPr>
          <t xml:space="preserve">
You can tell NodeXL to calculate this and other graph metrics by going to NodeXL, Analysis, Graph Metrics in the Ribbon.</t>
        </r>
      </text>
    </comment>
    <comment ref="AA2" author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C2" author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2" authorId="0">
      <text>
        <r>
          <rPr>
            <b/>
            <sz val="8"/>
            <color indexed="81"/>
            <rFont val="Tahoma"/>
            <family val="2"/>
          </rPr>
          <t xml:space="preserve">Group 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color indexed="81"/>
            <rFont val="Tahoma"/>
            <family val="2"/>
          </rPr>
          <t>Group 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color indexed="81"/>
            <rFont val="Tahoma"/>
            <family val="2"/>
          </rPr>
          <t>Group Visibility</t>
        </r>
        <r>
          <rPr>
            <sz val="8"/>
            <color indexed="81"/>
            <rFont val="Tahoma"/>
            <family val="2"/>
          </rPr>
          <t xml:space="preserve">
Select an optional group visibility.
</t>
        </r>
        <r>
          <rPr>
            <b/>
            <sz val="8"/>
            <color indexed="81"/>
            <rFont val="Tahoma"/>
            <family val="2"/>
          </rPr>
          <t>Show</t>
        </r>
        <r>
          <rPr>
            <sz val="8"/>
            <color indexed="81"/>
            <rFont val="Tahoma"/>
            <family val="2"/>
          </rPr>
          <t xml:space="preserve">
Show the group's vertices and edges when the graph is refreshed.  This is the default.
</t>
        </r>
        <r>
          <rPr>
            <b/>
            <sz val="8"/>
            <color indexed="81"/>
            <rFont val="Tahoma"/>
            <family val="2"/>
          </rPr>
          <t>Skip</t>
        </r>
        <r>
          <rPr>
            <sz val="8"/>
            <color indexed="81"/>
            <rFont val="Tahoma"/>
            <family val="2"/>
          </rPr>
          <t xml:space="preserve">
Skip the group's vertices and edges.
</t>
        </r>
        <r>
          <rPr>
            <b/>
            <sz val="8"/>
            <color indexed="81"/>
            <rFont val="Tahoma"/>
            <family val="2"/>
          </rPr>
          <t>Hide</t>
        </r>
        <r>
          <rPr>
            <sz val="8"/>
            <color indexed="81"/>
            <rFont val="Tahoma"/>
            <family val="2"/>
          </rPr>
          <t xml:space="preserve">
Use the group's vertices and edges when laying out the graph, but then hide the group's vertices and edges.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color indexed="81"/>
            <rFont val="Tahoma"/>
            <family val="2"/>
          </rPr>
          <t xml:space="preserve">Group 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 ref="F2" authorId="1">
      <text>
        <r>
          <rPr>
            <b/>
            <sz val="8"/>
            <color indexed="81"/>
            <rFont val="Tahoma"/>
            <family val="2"/>
          </rPr>
          <t>Group Label</t>
        </r>
        <r>
          <rPr>
            <sz val="8"/>
            <color indexed="81"/>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r>
          <rPr>
            <sz val="9"/>
            <color indexed="81"/>
            <rFont val="Tahoma"/>
            <charset val="1"/>
          </rPr>
          <t xml:space="preserve">
</t>
        </r>
      </text>
    </comment>
    <comment ref="G2" authorId="1">
      <text>
        <r>
          <rPr>
            <b/>
            <sz val="8"/>
            <color indexed="81"/>
            <rFont val="Tahoma"/>
            <family val="2"/>
          </rPr>
          <t xml:space="preserve">Collapsed Location
</t>
        </r>
        <r>
          <rPr>
            <sz val="8"/>
            <color indexed="81"/>
            <rFont val="Tahoma"/>
            <family val="2"/>
          </rPr>
          <t xml:space="preserve">
(In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color indexed="81"/>
            <rFont val="Tahoma"/>
            <family val="2"/>
          </rPr>
          <t xml:space="preserve">Collapsed Location
</t>
        </r>
        <r>
          <rPr>
            <sz val="8"/>
            <color indexed="81"/>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color indexed="81"/>
            <rFont val="Tahoma"/>
            <family val="2"/>
          </rPr>
          <t xml:space="preserve">Group Vertices
</t>
        </r>
        <r>
          <rPr>
            <sz val="8"/>
            <color indexed="81"/>
            <rFont val="Tahoma"/>
            <family val="2"/>
          </rPr>
          <t xml:space="preserve">
You can tell NodeXL to calculate this and other graph metrics by going to NodeXL, Analysis, Graph Metrics in the Ribbon.</t>
        </r>
        <r>
          <rPr>
            <b/>
            <sz val="9"/>
            <color indexed="81"/>
            <rFont val="Tahoma"/>
            <charset val="1"/>
          </rPr>
          <t xml:space="preserve">
</t>
        </r>
        <r>
          <rPr>
            <sz val="9"/>
            <color indexed="81"/>
            <rFont val="Tahoma"/>
            <charset val="1"/>
          </rPr>
          <t xml:space="preserve">
</t>
        </r>
      </text>
    </comment>
    <comment ref="L2" authorId="1">
      <text>
        <r>
          <rPr>
            <b/>
            <sz val="8"/>
            <color indexed="81"/>
            <rFont val="Tahoma"/>
            <family val="2"/>
          </rPr>
          <t>Group Unique Edges</t>
        </r>
        <r>
          <rPr>
            <sz val="8"/>
            <color indexed="81"/>
            <rFont val="Tahoma"/>
            <family val="2"/>
          </rPr>
          <t xml:space="preserve">
You can tell NodeXL to calculate this and other graph metrics by going to NodeXL, Analysis, Graph Metrics in the Ribbon.</t>
        </r>
      </text>
    </comment>
    <comment ref="M2" authorId="1">
      <text>
        <r>
          <rPr>
            <b/>
            <sz val="8"/>
            <color indexed="81"/>
            <rFont val="Tahoma"/>
            <family val="2"/>
          </rPr>
          <t>Group Edges With Duplicates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N2" authorId="1">
      <text>
        <r>
          <rPr>
            <b/>
            <sz val="8"/>
            <color indexed="81"/>
            <rFont val="Tahoma"/>
            <family val="2"/>
          </rPr>
          <t>Group Total Edges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O2" authorId="1">
      <text>
        <r>
          <rPr>
            <b/>
            <sz val="8"/>
            <color indexed="81"/>
            <rFont val="Tahoma"/>
            <family val="2"/>
          </rPr>
          <t>Group Self-Loops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P2" authorId="1">
      <text>
        <r>
          <rPr>
            <b/>
            <sz val="8"/>
            <color indexed="81"/>
            <rFont val="Tahoma"/>
            <family val="2"/>
          </rPr>
          <t xml:space="preserve">Group Reciprocated Vertex Pair Ratio
</t>
        </r>
        <r>
          <rPr>
            <sz val="8"/>
            <color indexed="81"/>
            <rFont val="Tahoma"/>
            <family val="2"/>
          </rPr>
          <t>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Q2" authorId="1">
      <text>
        <r>
          <rPr>
            <b/>
            <sz val="8"/>
            <color indexed="81"/>
            <rFont val="Tahoma"/>
            <family val="2"/>
          </rPr>
          <t xml:space="preserve">Group Reciprocated Edge Ratio
</t>
        </r>
        <r>
          <rPr>
            <sz val="8"/>
            <color indexed="81"/>
            <rFont val="Tahoma"/>
            <family val="2"/>
          </rPr>
          <t>You can tell NodeXL to calculate this and other graph metrics by going to NodeXL, Analysis, Graph Metrics in the Ribbon.</t>
        </r>
      </text>
    </comment>
    <comment ref="R2" authorId="1">
      <text>
        <r>
          <rPr>
            <b/>
            <sz val="8"/>
            <color indexed="81"/>
            <rFont val="Tahoma"/>
            <family val="2"/>
          </rPr>
          <t>Group Connected Components</t>
        </r>
        <r>
          <rPr>
            <sz val="8"/>
            <color indexed="81"/>
            <rFont val="Tahoma"/>
            <family val="2"/>
          </rPr>
          <t xml:space="preserve">
You can tell NodeXL to calculate this and other graph metrics by going to NodeXL, Analysis, Graph Metrics in the Ribbon.</t>
        </r>
        <r>
          <rPr>
            <b/>
            <sz val="8"/>
            <color indexed="81"/>
            <rFont val="Tahoma"/>
            <family val="2"/>
          </rPr>
          <t xml:space="preserve">
</t>
        </r>
      </text>
    </comment>
    <comment ref="S2" authorId="1">
      <text>
        <r>
          <rPr>
            <b/>
            <sz val="8"/>
            <color indexed="81"/>
            <rFont val="Tahoma"/>
            <family val="2"/>
          </rPr>
          <t>Group Single-Vertex Connected Components</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T2" authorId="1">
      <text>
        <r>
          <rPr>
            <b/>
            <sz val="8"/>
            <color indexed="81"/>
            <rFont val="Tahoma"/>
            <family val="2"/>
          </rPr>
          <t>Group Maximum Vertices in a Connected Component</t>
        </r>
        <r>
          <rPr>
            <sz val="8"/>
            <color indexed="81"/>
            <rFont val="Tahoma"/>
            <family val="2"/>
          </rPr>
          <t xml:space="preserve">
You can tell NodeXL to calculate this and other graph metrics by going to NodeXL, Analysis, Graph Metrics in the Ribbon.
</t>
        </r>
        <r>
          <rPr>
            <sz val="9"/>
            <color indexed="81"/>
            <rFont val="Tahoma"/>
            <family val="2"/>
          </rPr>
          <t xml:space="preserve">
</t>
        </r>
      </text>
    </comment>
    <comment ref="U2" authorId="1">
      <text>
        <r>
          <rPr>
            <b/>
            <sz val="8"/>
            <color indexed="81"/>
            <rFont val="Tahoma"/>
            <family val="2"/>
          </rPr>
          <t>Group Maximum Edges in a Connected Component</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 ref="V2" authorId="1">
      <text>
        <r>
          <rPr>
            <b/>
            <sz val="8"/>
            <color indexed="81"/>
            <rFont val="Tahoma"/>
            <family val="2"/>
          </rPr>
          <t>Group Maximum Geodesic Distance (Diameter)</t>
        </r>
        <r>
          <rPr>
            <sz val="8"/>
            <color indexed="81"/>
            <rFont val="Tahoma"/>
            <family val="2"/>
          </rPr>
          <t xml:space="preserve">
You can tell NodeXL to calculate this and other graph metrics by going to NodeXL, Analysis, Graph Metrics in the Ribbon.</t>
        </r>
      </text>
    </comment>
    <comment ref="W2" authorId="1">
      <text>
        <r>
          <rPr>
            <b/>
            <sz val="8"/>
            <color indexed="81"/>
            <rFont val="Tahoma"/>
            <family val="2"/>
          </rPr>
          <t>Group Average Geodesic Distance</t>
        </r>
        <r>
          <rPr>
            <sz val="8"/>
            <color indexed="81"/>
            <rFont val="Tahoma"/>
            <family val="2"/>
          </rPr>
          <t xml:space="preserve">
You can tell NodeXL to calculate this and other graph metrics by going to NodeXL, Analysis, Graph Metrics in the Ribbon.</t>
        </r>
      </text>
    </comment>
    <comment ref="X2" authorId="1">
      <text>
        <r>
          <rPr>
            <b/>
            <sz val="8"/>
            <color indexed="81"/>
            <rFont val="Tahoma"/>
            <family val="2"/>
          </rPr>
          <t>Group Graph Density</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<sst xmlns="http://schemas.openxmlformats.org/spreadsheetml/2006/main" count="316" uniqueCount="202">
  <si>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</si>
  <si>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</si>
  <si>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</si>
  <si>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</si>
  <si>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</si>
  <si>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</si>
  <si>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</si>
  <si>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</si>
  <si>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</si>
  <si>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</si>
  <si>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</si>
  <si>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</si>
  <si>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</si>
  <si>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</si>
  <si>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</si>
  <si>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</si>
  <si>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</si>
  <si>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</si>
  <si>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</si>
  <si>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</si>
  <si>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</si>
  <si>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</si>
  <si>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</si>
  <si>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</si>
  <si>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</si>
  <si>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</si>
  <si>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</si>
  <si>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</si>
  <si>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</si>
  <si>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</si>
  <si>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</si>
  <si>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</si>
  <si>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</si>
  <si>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</si>
  <si>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</si>
  <si>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</si>
  <si>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</si>
  <si>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</si>
  <si>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</si>
  <si>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</si>
  <si>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</si>
  <si>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</si>
  <si>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</si>
  <si>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</si>
  <si>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</si>
  <si>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</si>
  <si>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</si>
  <si>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</si>
  <si>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</si>
  <si>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</si>
  <si>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</si>
  <si>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</si>
  <si>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</si>
  <si>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</si>
  <si>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</si>
  <si>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</si>
  <si>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</si>
  <si>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</si>
  <si>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</si>
  <si>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</si>
  <si>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</si>
  <si>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</si>
  <si>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</si>
  <si>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</si>
  <si>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</si>
  <si>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</si>
  <si>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</si>
  <si>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</si>
  <si>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</si>
  <si>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</si>
  <si>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</si>
  <si>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</si>
  <si>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</si>
  <si>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</si>
  <si>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</si>
  <si>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</si>
  <si>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</si>
  <si>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</si>
  <si>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</si>
  <si>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</si>
  <si>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</si>
  <si>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</si>
  <si>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</si>
  <si>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</si>
  <si>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</si>
  <si>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</si>
  <si>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</si>
  <si>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</si>
  <si>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</si>
  <si>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</si>
  <si>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</si>
  <si>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</si>
  <si>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</si>
  <si>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</si>
  <si>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</si>
  <si>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</si>
  <si>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</si>
  <si>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</si>
  <si>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</si>
  <si>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</si>
  <si>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</si>
  <si>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</si>
  <si>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</si>
  <si>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</si>
  <si>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</si>
  <si>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</si>
  <si>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</si>
  <si>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</si>
  <si>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</si>
  <si>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</si>
  <si>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</si>
  <si>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</si>
  <si>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</si>
  <si>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</si>
  <si>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</si>
  <si>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</si>
  <si>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</si>
  <si>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</si>
  <si>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</si>
  <si>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</si>
  <si>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</si>
  <si>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</si>
  <si>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</si>
  <si>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</si>
  <si>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</si>
  <si>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</si>
  <si>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</si>
  <si>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</si>
  <si>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</si>
  <si>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</si>
  <si>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</si>
  <si>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</si>
  <si>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</si>
  <si>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</si>
  <si>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</si>
  <si>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</si>
  <si>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</si>
  <si>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</si>
  <si>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</si>
  <si>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</si>
  <si>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</si>
  <si>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</si>
  <si>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</si>
  <si>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</si>
  <si>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</si>
  <si>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</si>
  <si>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</si>
  <si>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</si>
  <si>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</si>
  <si>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</si>
  <si>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</si>
  <si>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</si>
  <si>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</si>
  <si>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</si>
  <si>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</si>
  <si>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</si>
  <si>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</si>
  <si>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</si>
  <si>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</si>
  <si>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</si>
  <si>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</si>
  <si>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</si>
  <si>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</si>
  <si>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</si>
  <si>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</si>
  <si>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</si>
  <si>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</si>
  <si>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</si>
  <si>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</si>
  <si>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</si>
  <si>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</si>
  <si>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</si>
  <si>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</si>
  <si>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</si>
  <si>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</si>
  <si>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Pierre</t>
  </si>
  <si>
    <t>Martine</t>
  </si>
  <si>
    <t>Emmanuelle</t>
  </si>
  <si>
    <t>Marc</t>
  </si>
  <si>
    <t>Eric</t>
  </si>
  <si>
    <t>Pascale</t>
  </si>
  <si>
    <t>Guillaume</t>
  </si>
  <si>
    <t>Paula</t>
  </si>
  <si>
    <t>Romain</t>
  </si>
  <si>
    <t>Graph History</t>
  </si>
  <si>
    <t>LayoutAlgorithm░The graph was laid out using the Harel-Koren Fast Multiscale layout algorithm.▓GraphDirectedness░The graph is undirected.</t>
  </si>
  <si>
    <t>Graph Type</t>
  </si>
  <si>
    <t>Modularity</t>
  </si>
  <si>
    <t>NodeXL Version</t>
  </si>
  <si>
    <t>Not Applicable</t>
  </si>
  <si>
    <t>1.0.1.245</t>
  </si>
  <si>
    <t>Marked?</t>
  </si>
  <si>
    <t>M</t>
  </si>
  <si>
    <t>F</t>
  </si>
  <si>
    <t>SEXE</t>
  </si>
  <si>
    <t>Autofill Workbook Results</t>
  </si>
  <si>
    <t>Workbook Settings 2</t>
  </si>
  <si>
    <t>0, 12, 96</t>
  </si>
  <si>
    <t>0, 136, 227</t>
  </si>
  <si>
    <t>▓0▓0▓0▓True▓Black▓Black▓▓▓0▓0▓0▓0▓0▓False▓▓0▓0▓0▓0▓0▓False▓SEXE▓0▓1▓0▓False▓241, 137, 4▓46, 7, 195▓M░F▓Degree▓1▓4▓0▓1.5▓10▓False▓▓0▓0▓0▓0▓0▓False▓▓0▓0▓0▓0▓0▓False▓▓0▓0▓0▓0▓0▓False</t>
  </si>
  <si>
    <t>&lt;?xml version="1.0" encoding="utf-8"?&gt;_x000D_
&lt;configuration&gt;_x000D_
  &lt;configSections&gt;_x000D_
    &lt;sectionGroup name="userSettings" type="System.Configuration.UserSettingsGroup, System, Version=2.0.0.0, Culture=neutral, PublicKeyToken=b77a5c561934e089"&gt;_x000D_
      &lt;section name="GeneralUserSettings4" type="System.Configuration.ClientSettingsSection, System, Version=2.0.0.0, Culture=neutral, PublicKeyToken=b77a5c561934e089" allowExeDefinition="MachineToLocalUser" requirePermission="false" /&gt;_x000D_
      &lt;section name="GraphZoomAndScaleUserSettings" type="System.Configuration.ClientSettingsSection, System, Version=2.0.0.0, Culture=neutral, PublicKeyToken=b77a5c561934e089" allowExeDefinition="MachineToLocalUser" requirePermission="false" /&gt;_x000D_
      &lt;section name="AutoFillUserSettings3" type="System.Configuration.ClientSettingsSection, System, Version=2.0.0.0, Culture=neutral, PublicKeyToken=b77a5c561934e089" allowExeDefinition="MachineToLocalUser" requirePermission="false" /&gt;_x000D_
      &lt;section name="ColumnGroupUserSettings" type="System.Configuration.ClientSettingsSection, System, Version=2.0.0.0, Culture=neutral, PublicKeyToken=b77a5c561934e089" allowExeDefinition="MachineToLocalUser" requirePermission="false" /&gt;_x000D_
      &lt;section name="GraphMetricUserSettings" type="System.Configuration.ClientSettingsSection, System, Version=2.0.0.0, Culture=neutral, PublicKeyToken=b77a5c561934e089" allowExeDefinition="MachineToLocalUser" requirePermission="false" /&gt;_x000D_
      &lt;section name="LayoutUserSettings" type="System.Configuration.ClientSettingsSection, System, Version=2.0.0.0, Culture=neutral, PublicKeyToken=b77a5c561934e089" allowExeDefinition="MachineToLocalUser" requirePermission="false" /&gt;_x000D_
    &lt;/sectionGroup&gt;_x000D_
  &lt;/configSections&gt;_x000D_
  &lt;userSettings&gt;_x000D_
    &lt;GeneralUserSettings4&gt;_x000D_
      &lt;setting name="ReadEdgeLabels" serializeAs="String"&gt;_x000D_
        &lt;value&gt;True&lt;/value&gt;_x000D_
      &lt;/setting&gt;_x000D_
      &lt;setting name="ShowGraphLegend" serializeAs="String"&gt;_x000D_
        &lt;value&gt;False&lt;/value&gt;_x000D_
      &lt;/setting&gt;_x000D_
      &lt;setting name="ShowGraphAxes" serializeAs="String"&gt;_x000D_
        &lt;value&gt;False&lt;/value&gt;_x000D_
      &lt;/setting&gt;_x000D_
      &lt;setting name="ReadVertexLabels" serializeAs="String"&gt;_x000D_
        &lt;value&gt;True&lt;/value&gt;_x000D_
      &lt;/setting&gt;_x000D_
      &lt;setting name="ReadGroupLabels" serializeAs="String"&gt;_x000D_
        &lt;value&gt;True&lt;/value&gt;_x000D_
      &lt;/setting&gt;_x000D_
    &lt;/GeneralUserSettings4&gt;_x000D_
    &lt;GraphZoomAndScaleUserSettings&gt;_x000D_
      &lt;setting name="GraphScale" serializeAs="String"&gt;_x000D_
        &lt;value&gt;1&lt;/value&gt;_x000D_
      &lt;/setting&gt;_x000D_
    &lt;/GraphZoomAndScaleUserSettings&gt;_x000D_
    &lt;AutoFillUserSettings3&gt;_x000D_
      &lt;setting name="VertexLabelSourceColumnName" serializeAs="String"&gt;_x000D_
        &lt;value /&gt;_x000D_
      &lt;/setting&gt;_x000D_
      &lt;setting name="EdgeAlphaSourceColumnName" serializeAs="String"&gt;_x000D_
        &lt;value /&gt;_x000D_
      &lt;/setting&gt;_x000D_
      &lt;setting name="GroupLabelSourceColumnName" serializeAs="String"&gt;_x000D_
        &lt;value /&gt;_x000D_
      &lt;/setting&gt;_x000D_
      &lt;setting name="VertexRadiusSourceColumnName" serializeAs="String"&gt;_x000D_
        &lt;value&gt;Degree&lt;/value&gt;_x000D_
      &lt;/setting&gt;_x000D_
      &lt;setting name="VertexYSourceColumnName" serializeAs="String"&gt;_x000D_
        &lt;value /&gt;_x000D_
      &lt;/setting&gt;_x000D_
      &lt;setting name="VertexXSourceColumnName" serializeAs="String"&gt;_x000D_
        &lt;value /&gt;_x000D_
      &lt;/setting&gt;_x000D_
      &lt;setting name="VertexLabelPositionSourceColumnName" serializeAs="String"&gt;_x000D_
        &lt;value /&gt;_x000D_
      &lt;/setting&gt;_x000D_
      &lt;setting name="EdgeLabelSourceColumnName" serializeAs="String"&gt;_x000D_
        &lt;value /&gt;_x000D_
      &lt;/setting&gt;_x000D_
      &lt;setting name="VertexColorSourceColumnName" serializeAs="String"&gt;_x000D_
        &lt;value&gt;SEXE&lt;/value&gt;_x000D_
      &lt;/setting&gt;_x000D_
      &lt;setting name="EdgeVisibilitySourceColumnName" serializeAs="String"&gt;_x000D_
        &lt;value /&gt;_x000D_
      &lt;/setting&gt;_x000D_
      &lt;setting name="VertexLayoutOrderSourceColumnName" serializeAs="String"&gt;_x000D_
        &lt;value /&gt;_x000D_
      &lt;/setting&gt;_x000D_
      &lt;setting name="VertexToolTipSourceColumnName" serializeAs="String"&gt;_x000D_
        &lt;value /&gt;_x000D_
      &lt;/setting&gt;_x000D_
      &lt;setting name="VertexAlphaSourceColumnName" serializeAs="String"&gt;_x000D_
        &lt;value /&gt;_x000D_
      &lt;/setting&gt;_x000D_
      &lt;setting name="GroupCollapsedSourceColumnName" serializeAs="String"&gt;_x000D_
        &lt;value /&gt;_x000D_
      &lt;/setting&gt;_x000D_
      &lt;setting name="VertexPolarRSourceColumnName" serializeAs="String"&gt;_x000D_
        &lt;value /&gt;_x000D_
      &lt;/setting&gt;_x000D_
      &lt;setting name="EdgeWidthSourceColumnName" serializeAs="String"&gt;_x000D_
        &lt;value /&gt;_x000D_
      &lt;/setting&gt;_x000D_
      &lt;setting name="VertexShapeSourceColumnName" serializeAs="String"&gt;_x000D_
        &lt;value /&gt;_x000D_
      &lt;/setting&gt;_x000D_
      &lt;setting name="EdgeStyleSourceColumnName" serializeAs="String"&gt;_x000D_
        &lt;value /&gt;_x000D_
      &lt;/setting&gt;_x000D_
      &lt;setting name="EdgeColorSourceColumnName" serializeAs="String"&gt;_x000D_
        &lt;value /&gt;_x000D_
      &lt;/setting&gt;_x000D_
      &lt;setting name="VertexPolarAngleSourceColumnName" serializeAs="String"&gt;_x000D_
        &lt;value /&gt;_x000D_
      &lt;/setting&gt;_x000D_
      &lt;setting name="VertexLabelFillColorSourceColumnName" serializeAs="String"&gt;_x000D_
        &lt;value /&gt;_x000D_
      &lt;/setting&gt;_x000D_
      &lt;setting name="VertexVisibilitySourceColumnName" serializeAs="String"&gt;_x000D_
        &lt;value /&gt;_x000D_
      &lt;/setting&gt;_x000D_
      &lt;setting name="VertexYDetails" serializeAs="String"&gt;_x000D_
        &lt;value&gt;False	False	0	0	0	9999	False	False&lt;/value&gt;_x000D_
      &lt;/setting&gt;_x000D_
      &lt;setting name="VertexLayoutOrderDetails" serializeAs="String"&gt;_x000D_
        &lt;value&gt;False	False	0	0	1	9999	False	False&lt;/value&gt;_x000D_
      &lt;/setting&gt;_x000D_
      &lt;setting name="EdgeStyleDetails" serializeAs="String"&gt;_x000D_
        &lt;value&gt;GreaterThan	0	Solid	Dash&lt;/value&gt;_x000D_
      &lt;/setting&gt;_x000D_
      &lt;setting name="VertexColorDetails" serializeAs="String"&gt;_x000D_
        &lt;value&gt;False	False	0	10	241, 137, 4	46, 7, 195	False	False	False&lt;/value&gt;_x000D_
      &lt;/setting&gt;_x000D_
      &lt;setting name="EdgeAlphaDetails" serializeAs="String"&gt;_x000D_
        &lt;value&gt;False	False	0	100	10	100	False	False&lt;/value&gt;_x000D_
      &lt;/setting&gt;_x000D_
      &lt;setting name="VertexLabelPositionDetails" serializeAs="String"&gt;_x000D_
        &lt;value&gt;GreaterThan	0	Bottom Center	Nowhere&lt;/value&gt;_x000D_
      &lt;/setting&gt;_x000D_
      &lt;setting name="VertexVisibilityDetails" serializeAs="String"&gt;_x000D_
        &lt;value&gt;GreaterThan	0	Show if in an Edge	Skip&lt;/va</t>
  </si>
  <si>
    <t>lue&gt;_x000D_
      &lt;/setting&gt;_x000D_
      &lt;setting name="VertexPolarAngleDetails" serializeAs="String"&gt;_x000D_
        &lt;value&gt;False	False	0	0	0	359	False	False&lt;/value&gt;_x000D_
      &lt;/setting&gt;_x000D_
      &lt;setting name="VertexAlphaDetails" serializeAs="String"&gt;_x000D_
        &lt;value&gt;False	False	0	100	10	100	False	False&lt;/value&gt;_x000D_
      &lt;/setting&gt;_x000D_
      &lt;setting name="EdgeWidthDetails" serializeAs="String"&gt;_x000D_
        &lt;value&gt;False	False	1	10	1	10	False	False&lt;/value&gt;_x000D_
      &lt;/setting&gt;_x000D_
      &lt;setting name="GroupCollapsedDetails" serializeAs="String"&gt;_x000D_
        &lt;value&gt;GreaterThan	0	Yes	No&lt;/value&gt;_x000D_
      &lt;/setting&gt;_x000D_
      &lt;setting name="VertexRadiusDetails" serializeAs="String"&gt;_x000D_
        &lt;value&gt;False	False	1	10	1.5	10	False	False&lt;/value&gt;_x000D_
      &lt;/setting&gt;_x000D_
      &lt;setting name="VertexShapeDetails" serializeAs="String"&gt;_x000D_
        &lt;value&gt;GreaterThan	0	Solid Square	Disk&lt;/value&gt;_x000D_
      &lt;/setting&gt;_x000D_
      &lt;setting name="VertexXDetails" serializeAs="String"&gt;_x000D_
        &lt;value&gt;False	False	0	0	0	9999	False	False&lt;/value&gt;_x000D_
      &lt;/setting&gt;_x000D_
      &lt;setting name="EdgeColorDetails" serializeAs="String"&gt;_x000D_
        &lt;value&gt;False	False	0	10	241, 137, 4	46, 7, 195	False	False	True&lt;/value&gt;_x000D_
      &lt;/setting&gt;_x000D_
      &lt;setting name="VertexLabelFillColorDetails" serializeAs="String"&gt;_x000D_
        &lt;value&gt;False	False	0	10	241, 137, 4	46, 7, 195	False	False	True&lt;/value&gt;_x000D_
      &lt;/setting&gt;_x000D_
      &lt;setting name="EdgeVisibilityDetails" serializeAs="String"&gt;_x000D_
        &lt;value&gt;GreaterThan	0	Show	Skip&lt;/value&gt;_x000D_
      &lt;/setting&gt;_x000D_
      &lt;setting name="VertexPolarRDetails" serializeAs="String"&gt;_x000D_
        &lt;value&gt;False	False	0	0	0	1	False	False&lt;/value&gt;_x000D_
      &lt;/setting&gt;_x000D_
    &lt;/AutoFillUserSettings3&gt;_x000D_
    &lt;ColumnGroupUserSettings&gt;_x000D_
      &lt;setting name="ColumnGroupsToShow" serializeAs="String"&gt;_x000D_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GroupEdgeGraphMetrics&lt;/value&gt;_x000D_
      &lt;/setting&gt;_x000D_
    &lt;/ColumnGroupUserSettings&gt;_x000D_
    &lt;GraphMetricUserSettings&gt;_x000D_
      &lt;setting name="GraphMetricsToCalculate" serializeAs="String"&gt;_x000D_
        &lt;value&gt;Degree, OverallMetrics&lt;/value&gt;_x000D_
      &lt;/setting&gt;_x000D_
    &lt;/GraphMetricUserSettings&gt;_x000D_
    &lt;LayoutUserSettings&gt;_x000D_
      &lt;setting name="Layout" serializeAs="String"&gt;_x000D_
        &lt;value&gt;HarelKorenFastMultiscale&lt;/value&gt;_x000D_
      &lt;/setting&gt;_x000D_
    &lt;/LayoutUserSettings&gt;_x000D_
  &lt;/userSettings&gt;_x000D_
&lt;/configuration&gt;</t>
  </si>
</sst>
</file>

<file path=xl/styles.xml><?xml version="1.0" encoding="utf-8"?>
<styleSheet xmlns="http://schemas.openxmlformats.org/spreadsheetml/2006/main">
  <numFmts count="4">
    <numFmt numFmtId="164" formatCode="0.0"/>
    <numFmt numFmtId="165" formatCode="#,##0.0"/>
    <numFmt numFmtId="166" formatCode="#,##0.000"/>
    <numFmt numFmtId="167" formatCode="0.000"/>
  </numFmts>
  <fonts count="13">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
      <b/>
      <sz val="9"/>
      <color indexed="81"/>
      <name val="Tahoma"/>
      <family val="2"/>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9">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3" applyNumberFormat="1" applyFont="1"/>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49" fontId="0" fillId="0" borderId="0" xfId="3" applyNumberFormat="1" applyFont="1" applyAlignment="1">
      <alignment wrapText="1"/>
    </xf>
    <xf numFmtId="1" fontId="5" fillId="4" borderId="1" xfId="5" applyNumberFormat="1" applyAlignment="1"/>
    <xf numFmtId="167" fontId="5" fillId="4" borderId="1" xfId="5" applyNumberFormat="1" applyAlignment="1"/>
    <xf numFmtId="167" fontId="11" fillId="4" borderId="1" xfId="5" applyNumberFormat="1" applyFont="1" applyAlignment="1"/>
    <xf numFmtId="0" fontId="0" fillId="5" borderId="1" xfId="4" applyNumberFormat="1" applyFont="1" applyAlignment="1">
      <alignment wrapText="1"/>
    </xf>
    <xf numFmtId="164" fontId="0" fillId="5" borderId="1" xfId="4" applyNumberFormat="1" applyFont="1" applyAlignment="1">
      <alignment wrapText="1"/>
    </xf>
    <xf numFmtId="1" fontId="0" fillId="5" borderId="1" xfId="4" applyNumberFormat="1" applyFont="1" applyAlignment="1">
      <alignment wrapText="1"/>
    </xf>
    <xf numFmtId="0" fontId="6" fillId="6" borderId="1" xfId="6" applyNumberFormat="1" applyAlignment="1">
      <alignment wrapText="1"/>
    </xf>
    <xf numFmtId="49" fontId="6" fillId="6" borderId="1" xfId="6" applyNumberFormat="1" applyAlignment="1">
      <alignment wrapText="1"/>
    </xf>
    <xf numFmtId="0" fontId="0" fillId="3" borderId="1" xfId="7" applyNumberFormat="1" applyFont="1" applyAlignment="1">
      <alignment wrapText="1"/>
    </xf>
    <xf numFmtId="164" fontId="0" fillId="3" borderId="1" xfId="7" applyNumberFormat="1" applyFont="1" applyAlignment="1">
      <alignment wrapText="1"/>
    </xf>
    <xf numFmtId="165" fontId="0" fillId="3" borderId="1" xfId="7" applyNumberFormat="1" applyFont="1" applyAlignment="1">
      <alignment wrapText="1"/>
    </xf>
    <xf numFmtId="166" fontId="0" fillId="3" borderId="1" xfId="7" applyNumberFormat="1" applyFont="1" applyAlignment="1">
      <alignment wrapText="1"/>
    </xf>
    <xf numFmtId="0" fontId="0" fillId="2" borderId="1" xfId="1" applyNumberFormat="1" applyFont="1" applyAlignment="1">
      <alignment wrapText="1"/>
    </xf>
    <xf numFmtId="0" fontId="0" fillId="0" borderId="0" xfId="2" applyNumberFormat="1" applyFont="1" applyAlignment="1">
      <alignment wrapText="1"/>
    </xf>
    <xf numFmtId="0" fontId="5" fillId="2" borderId="1" xfId="1" applyNumberFormat="1"/>
    <xf numFmtId="0" fontId="6" fillId="6" borderId="1" xfId="6"/>
    <xf numFmtId="0" fontId="11" fillId="5" borderId="1" xfId="4" applyNumberFormat="1" applyFont="1" applyAlignment="1">
      <alignment wrapText="1"/>
    </xf>
    <xf numFmtId="0" fontId="6" fillId="6" borderId="1" xfId="6" applyNumberFormat="1"/>
    <xf numFmtId="0" fontId="5" fillId="4" borderId="1" xfId="5" applyNumberFormat="1" applyAlignment="1">
      <alignment wrapText="1"/>
    </xf>
    <xf numFmtId="0" fontId="0" fillId="5" borderId="8" xfId="4" applyNumberFormat="1" applyFont="1" applyBorder="1"/>
    <xf numFmtId="0" fontId="0" fillId="5" borderId="9" xfId="4" applyNumberFormat="1" applyFont="1" applyBorder="1"/>
    <xf numFmtId="0" fontId="0" fillId="5" borderId="10" xfId="4" applyNumberFormat="1" applyFont="1" applyBorder="1"/>
    <xf numFmtId="0" fontId="0" fillId="3" borderId="8" xfId="7" applyNumberFormat="1" applyFont="1" applyBorder="1"/>
    <xf numFmtId="0" fontId="6" fillId="3" borderId="10" xfId="7" applyNumberFormat="1" applyFont="1" applyBorder="1"/>
    <xf numFmtId="0" fontId="5" fillId="2" borderId="8" xfId="1" applyNumberFormat="1" applyBorder="1"/>
    <xf numFmtId="0" fontId="5" fillId="2" borderId="10" xfId="1" applyNumberFormat="1" applyBorder="1"/>
    <xf numFmtId="0" fontId="5" fillId="4" borderId="8" xfId="5" applyNumberFormat="1" applyBorder="1"/>
    <xf numFmtId="0" fontId="5" fillId="4" borderId="9" xfId="5" applyNumberFormat="1" applyBorder="1"/>
    <xf numFmtId="0" fontId="0" fillId="3" borderId="1" xfId="7" applyNumberFormat="1" applyFont="1"/>
    <xf numFmtId="0" fontId="0" fillId="0" borderId="0" xfId="0" applyBorder="1" applyAlignment="1">
      <alignment wrapText="1"/>
    </xf>
    <xf numFmtId="1" fontId="0" fillId="5" borderId="1" xfId="4" applyNumberFormat="1" applyFont="1"/>
    <xf numFmtId="0" fontId="0" fillId="2" borderId="1" xfId="1" applyNumberFormat="1" applyFont="1"/>
    <xf numFmtId="49" fontId="0" fillId="0" borderId="0" xfId="3" applyNumberFormat="1" applyFont="1" applyBorder="1" applyAlignment="1">
      <alignment wrapText="1"/>
    </xf>
    <xf numFmtId="0" fontId="0" fillId="5" borderId="11" xfId="4" applyNumberFormat="1" applyFont="1" applyBorder="1" applyAlignment="1">
      <alignment wrapText="1"/>
    </xf>
    <xf numFmtId="164" fontId="0" fillId="5" borderId="11" xfId="4" applyNumberFormat="1" applyFont="1" applyBorder="1" applyAlignment="1">
      <alignment wrapText="1"/>
    </xf>
    <xf numFmtId="0" fontId="11" fillId="5" borderId="11" xfId="4" applyNumberFormat="1" applyFont="1" applyBorder="1" applyAlignment="1">
      <alignment wrapText="1"/>
    </xf>
    <xf numFmtId="1" fontId="0" fillId="5" borderId="11" xfId="4" applyNumberFormat="1" applyFont="1" applyBorder="1" applyAlignment="1">
      <alignment wrapText="1"/>
    </xf>
    <xf numFmtId="49" fontId="6" fillId="6" borderId="11" xfId="6" applyNumberFormat="1" applyBorder="1" applyAlignment="1">
      <alignment wrapText="1"/>
    </xf>
    <xf numFmtId="0" fontId="6" fillId="6" borderId="11" xfId="6" applyNumberFormat="1" applyBorder="1" applyAlignment="1">
      <alignment wrapText="1"/>
    </xf>
    <xf numFmtId="0" fontId="5" fillId="4" borderId="11" xfId="5" applyNumberFormat="1" applyBorder="1" applyAlignment="1">
      <alignment wrapText="1"/>
    </xf>
    <xf numFmtId="0" fontId="11" fillId="2" borderId="11" xfId="1" applyNumberFormat="1" applyFont="1" applyBorder="1" applyAlignment="1">
      <alignment wrapText="1"/>
    </xf>
    <xf numFmtId="0" fontId="0" fillId="0" borderId="0" xfId="2" applyNumberFormat="1" applyFont="1" applyBorder="1" applyAlignment="1">
      <alignment wrapText="1"/>
    </xf>
    <xf numFmtId="164" fontId="0" fillId="3" borderId="1" xfId="7" applyNumberFormat="1" applyFont="1"/>
    <xf numFmtId="165" fontId="0" fillId="3" borderId="1" xfId="7" applyNumberFormat="1" applyFont="1"/>
    <xf numFmtId="166" fontId="0" fillId="3" borderId="1" xfId="7" applyNumberFormat="1" applyFont="1"/>
    <xf numFmtId="1" fontId="11" fillId="4" borderId="1" xfId="5" applyNumberFormat="1" applyFont="1" applyAlignment="1"/>
    <xf numFmtId="0" fontId="0" fillId="0" borderId="0" xfId="2" applyNumberFormat="1" applyFont="1"/>
    <xf numFmtId="0" fontId="5" fillId="5" borderId="1" xfId="8" applyNumberFormat="1" applyAlignment="1"/>
  </cellXfs>
  <cellStyles count="9">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97">
    <dxf>
      <numFmt numFmtId="1" formatCode="0"/>
      <alignment horizontal="general" vertical="bottom"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relativeIndent="0" justifyLastLine="0" shrinkToFit="0" mergeCell="0" readingOrder="0"/>
      <border outline="0">
        <left style="thin">
          <color theme="0"/>
        </left>
      </border>
    </dxf>
    <dxf>
      <numFmt numFmtId="166" formatCode="#,##0.000"/>
      <border outline="0">
        <right style="thin">
          <color theme="0"/>
        </right>
      </border>
    </dxf>
    <dxf>
      <alignment horizontal="general" vertical="bottom" textRotation="0" wrapText="0" indent="0" relativeIndent="255" justifyLastLine="0" shrinkToFit="0" mergeCell="0" readingOrder="0"/>
    </dxf>
    <dxf>
      <alignment horizontal="general" vertical="bottom"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30" formatCode="@"/>
    </dxf>
    <dxf>
      <font>
        <b/>
        <i val="0"/>
        <strike val="0"/>
        <condense val="0"/>
        <extend val="0"/>
        <outline val="0"/>
        <shadow val="0"/>
        <u val="none"/>
        <vertAlign val="baseline"/>
        <sz val="11"/>
        <color theme="1"/>
        <name val="Calibri"/>
        <scheme val="minor"/>
      </font>
      <alignment horizontal="general" vertical="bottom" textRotation="0" wrapText="1" indent="0" relativeIndent="0" justifyLastLine="0" shrinkToFit="0" mergeCell="0" readingOrder="0"/>
    </dxf>
    <dxf>
      <font>
        <b/>
        <i val="0"/>
        <strike val="0"/>
        <condense val="0"/>
        <extend val="0"/>
        <outline val="0"/>
        <shadow val="0"/>
        <u val="none"/>
        <vertAlign val="baseline"/>
        <sz val="11"/>
        <color theme="1"/>
        <name val="Calibri"/>
        <scheme val="minor"/>
      </font>
      <alignment horizontal="general" vertical="bottom" textRotation="0" wrapText="1" indent="0" relativeIndent="0" justifyLastLine="0" shrinkToFit="0" mergeCell="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numFmt numFmtId="0" formatCode="General"/>
    </dxf>
    <dxf>
      <numFmt numFmtId="30" formatCode="@"/>
    </dxf>
    <dxf>
      <numFmt numFmtId="30" formatCode="@"/>
    </dxf>
    <dxf>
      <numFmt numFmtId="30" formatCode="@"/>
    </dxf>
    <dxf>
      <numFmt numFmtId="30" formatCode="@"/>
    </dxf>
    <dxf>
      <numFmt numFmtId="167" formatCode="0.000"/>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0" formatCode="General"/>
    </dxf>
    <dxf>
      <font>
        <b val="0"/>
        <i val="0"/>
        <strike val="0"/>
        <condense val="0"/>
        <extend val="0"/>
        <outline val="0"/>
        <shadow val="0"/>
        <u val="none"/>
        <vertAlign val="baseline"/>
        <sz val="11"/>
        <color theme="1"/>
        <name val="Calibri"/>
        <scheme val="minor"/>
      </font>
      <numFmt numFmtId="0" formatCode="General"/>
    </dxf>
    <dxf>
      <numFmt numFmtId="30" formatCode="@"/>
    </dxf>
    <dxf>
      <font>
        <b val="0"/>
        <i val="0"/>
        <strike val="0"/>
        <condense val="0"/>
        <extend val="0"/>
        <outline val="0"/>
        <shadow val="0"/>
        <u val="none"/>
        <vertAlign val="baseline"/>
        <sz val="11"/>
        <color theme="1"/>
        <name val="Calibri"/>
        <scheme val="minor"/>
      </font>
      <numFmt numFmtId="0" formatCode="General"/>
    </dxf>
    <dxf>
      <numFmt numFmtId="0" formatCode="General"/>
    </dxf>
    <dxf>
      <numFmt numFmtId="0" formatCode="General"/>
    </dxf>
    <dxf>
      <numFmt numFmtId="30" formatCode="@"/>
    </dxf>
    <dxf>
      <alignment horizontal="general" vertical="bottom" textRotation="0" wrapText="1" indent="0" relativeIndent="255" justifyLastLine="0" shrinkToFit="0" mergeCell="0" readingOrder="0"/>
    </dxf>
    <dxf>
      <numFmt numFmtId="0" formatCode="General"/>
    </dxf>
    <dxf>
      <numFmt numFmtId="0" formatCode="General"/>
    </dxf>
    <dxf>
      <numFmt numFmtId="0" formatCode="General"/>
    </dxf>
    <dxf>
      <numFmt numFmtId="167" formatCode="0.000"/>
      <alignment horizontal="general"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7" formatCode="0.000"/>
      <alignment horizontal="general"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relativeIndent="0" justifyLastLine="0" shrinkToFit="0" mergeCell="0" readingOrder="0"/>
    </dxf>
    <dxf>
      <numFmt numFmtId="166" formatCode="#,##0.000"/>
    </dxf>
    <dxf>
      <numFmt numFmtId="0" formatCode="General"/>
    </dxf>
    <dxf>
      <numFmt numFmtId="165" formatCode="#,##0.0"/>
    </dxf>
    <dxf>
      <numFmt numFmtId="165" formatCode="#,##0.0"/>
    </dxf>
    <dxf>
      <numFmt numFmtId="164" formatCode="0.0"/>
    </dxf>
    <dxf>
      <numFmt numFmtId="30" formatCode="@"/>
    </dxf>
    <dxf>
      <numFmt numFmtId="0" formatCode="General"/>
    </dxf>
    <dxf>
      <numFmt numFmtId="0" formatCode="General"/>
    </dxf>
    <dxf>
      <numFmt numFmtId="0" formatCode="General"/>
    </dxf>
    <dxf>
      <numFmt numFmtId="0" formatCode="General"/>
    </dxf>
    <dxf>
      <numFmt numFmtId="1" formatCode="0"/>
    </dxf>
    <dxf>
      <numFmt numFmtId="164" formatCode="0.0"/>
    </dxf>
    <dxf>
      <numFmt numFmtId="0" formatCode="General"/>
    </dxf>
    <dxf>
      <numFmt numFmtId="0" formatCode="General"/>
    </dxf>
    <dxf>
      <numFmt numFmtId="30" formatCode="@"/>
    </dxf>
    <dxf>
      <numFmt numFmtId="30" formatCode="@"/>
    </dxf>
    <dxf>
      <numFmt numFmtId="30" formatCode="@"/>
      <alignment horizontal="general" vertical="bottom" textRotation="0" wrapText="1" indent="0" relativeIndent="255" justifyLastLine="0" shrinkToFit="0" mergeCell="0" readingOrder="0"/>
    </dxf>
    <dxf>
      <numFmt numFmtId="0" formatCode="General"/>
      <alignment horizontal="general" vertical="bottom" textRotation="0" wrapText="1" indent="0" relativeIndent="255" justifyLastLine="0" shrinkToFit="0" mergeCell="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relativeIndent="0" justifyLastLine="0" shrinkToFit="0" mergeCell="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relativeIndent="0" justifyLastLine="0" shrinkToFit="0" mergeCell="0" readingOrder="0"/>
    </dxf>
    <dxf>
      <numFmt numFmtId="0" formatCode="General"/>
      <alignment horizontal="general" vertical="bottom" textRotation="0" wrapText="1" indent="0" relativeIndent="0" justifyLastLine="0" shrinkToFit="0" mergeCell="0" readingOrder="0"/>
    </dxf>
    <dxf>
      <numFmt numFmtId="0" formatCode="General"/>
      <alignment horizontal="general" vertical="bottom" textRotation="0" wrapText="1" indent="0" relativeIndent="255" justifyLastLine="0" shrinkToFit="0" mergeCell="0" readingOrder="0"/>
    </dxf>
    <dxf>
      <numFmt numFmtId="0" formatCode="General"/>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numFmt numFmtId="0" formatCode="General"/>
      <alignment horizontal="general" vertical="bottom" textRotation="0" wrapText="1" indent="0" relativeIndent="255" justifyLastLine="0" shrinkToFit="0" mergeCell="0" readingOrder="0"/>
    </dxf>
    <dxf>
      <numFmt numFmtId="1" formatCode="0"/>
      <alignment horizontal="general" vertical="bottom" textRotation="0" wrapText="1" indent="0" relativeIndent="255" justifyLastLine="0" shrinkToFit="0" mergeCell="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1" indent="0" relativeIndent="255" justifyLastLine="0" shrinkToFit="0" mergeCell="0" readingOrder="0"/>
    </dxf>
    <dxf>
      <numFmt numFmtId="164" formatCode="0.0"/>
      <alignment horizontal="general" vertical="bottom" textRotation="0" wrapText="1" indent="0" relativeIndent="255" justifyLastLine="0" shrinkToFit="0" mergeCell="0" readingOrder="0"/>
    </dxf>
    <dxf>
      <numFmt numFmtId="0" formatCode="General"/>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numFmt numFmtId="30" formatCode="@"/>
      <alignment horizontal="general" vertical="bottom" textRotation="0" wrapText="1" indent="0" relativeIndent="255" justifyLastLine="0" shrinkToFit="0" mergeCell="0" readingOrder="0"/>
    </dxf>
    <dxf>
      <alignment horizontal="general" vertical="bottom" textRotation="0" wrapText="1" indent="0" relativeIndent="255" justifyLastLine="0" shrinkToFit="0" mergeCell="0" readingOrder="0"/>
    </dxf>
    <dxf>
      <alignment horizontal="general" vertical="bottom" textRotation="0" wrapText="1" indent="0" relativeIndent="255" justifyLastLine="0" shrinkToFit="0" mergeCell="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96"/>
    </tableStyle>
  </tableStyle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1"/>
          <c:order val="0"/>
          <c:tx>
            <c:strRef>
              <c:f>'Overall Metrics'!$E$2</c:f>
              <c:strCache>
                <c:ptCount val="1"/>
                <c:pt idx="0">
                  <c:v>1</c:v>
                </c:pt>
              </c:strCache>
            </c:strRef>
          </c:tx>
          <c:spPr>
            <a:solidFill>
              <a:schemeClr val="accent1"/>
            </a:solidFill>
          </c:spPr>
          <c:cat>
            <c:numRef>
              <c:f>'Overall Metrics'!$D$2:$D$45</c:f>
              <c:numCache>
                <c:formatCode>#,##0.00</c:formatCode>
                <c:ptCount val="44"/>
                <c:pt idx="0">
                  <c:v>1</c:v>
                </c:pt>
                <c:pt idx="1">
                  <c:v>1.069767441860465</c:v>
                </c:pt>
                <c:pt idx="2">
                  <c:v>1.13953488372093</c:v>
                </c:pt>
                <c:pt idx="3">
                  <c:v>1.2093023255813951</c:v>
                </c:pt>
                <c:pt idx="4">
                  <c:v>1.2790697674418601</c:v>
                </c:pt>
                <c:pt idx="5">
                  <c:v>1.3488372093023251</c:v>
                </c:pt>
                <c:pt idx="6">
                  <c:v>1.4186046511627901</c:v>
                </c:pt>
                <c:pt idx="7">
                  <c:v>1.4883720930232551</c:v>
                </c:pt>
                <c:pt idx="8">
                  <c:v>1.5581395348837201</c:v>
                </c:pt>
                <c:pt idx="9">
                  <c:v>1.6279069767441852</c:v>
                </c:pt>
                <c:pt idx="10">
                  <c:v>1.6976744186046502</c:v>
                </c:pt>
                <c:pt idx="11">
                  <c:v>1.7674418604651152</c:v>
                </c:pt>
                <c:pt idx="12">
                  <c:v>1.8372093023255802</c:v>
                </c:pt>
                <c:pt idx="13">
                  <c:v>1.9069767441860452</c:v>
                </c:pt>
                <c:pt idx="14">
                  <c:v>1.9767441860465103</c:v>
                </c:pt>
                <c:pt idx="15">
                  <c:v>2.0465116279069755</c:v>
                </c:pt>
                <c:pt idx="16">
                  <c:v>2.1162790697674407</c:v>
                </c:pt>
                <c:pt idx="17">
                  <c:v>2.186046511627906</c:v>
                </c:pt>
                <c:pt idx="18">
                  <c:v>2.2558139534883712</c:v>
                </c:pt>
                <c:pt idx="19">
                  <c:v>2.3255813953488365</c:v>
                </c:pt>
                <c:pt idx="20">
                  <c:v>2.3953488372093017</c:v>
                </c:pt>
                <c:pt idx="21">
                  <c:v>2.4651162790697669</c:v>
                </c:pt>
                <c:pt idx="22">
                  <c:v>2.5348837209302322</c:v>
                </c:pt>
                <c:pt idx="23">
                  <c:v>2.6046511627906974</c:v>
                </c:pt>
                <c:pt idx="24">
                  <c:v>2.6744186046511627</c:v>
                </c:pt>
                <c:pt idx="25">
                  <c:v>2.7441860465116279</c:v>
                </c:pt>
                <c:pt idx="26">
                  <c:v>2.8139534883720931</c:v>
                </c:pt>
                <c:pt idx="27">
                  <c:v>2.8837209302325584</c:v>
                </c:pt>
                <c:pt idx="28">
                  <c:v>2.9534883720930236</c:v>
                </c:pt>
                <c:pt idx="29">
                  <c:v>3.0232558139534889</c:v>
                </c:pt>
                <c:pt idx="30">
                  <c:v>3.0930232558139541</c:v>
                </c:pt>
                <c:pt idx="31">
                  <c:v>3.1627906976744193</c:v>
                </c:pt>
                <c:pt idx="32">
                  <c:v>3.2325581395348846</c:v>
                </c:pt>
                <c:pt idx="33">
                  <c:v>3.3023255813953498</c:v>
                </c:pt>
                <c:pt idx="34">
                  <c:v>3.3720930232558151</c:v>
                </c:pt>
                <c:pt idx="35">
                  <c:v>3.4418604651162803</c:v>
                </c:pt>
                <c:pt idx="36">
                  <c:v>3.5116279069767455</c:v>
                </c:pt>
                <c:pt idx="37">
                  <c:v>3.5813953488372108</c:v>
                </c:pt>
                <c:pt idx="38">
                  <c:v>3.651162790697676</c:v>
                </c:pt>
                <c:pt idx="39">
                  <c:v>3.7209302325581413</c:v>
                </c:pt>
                <c:pt idx="40">
                  <c:v>3.7906976744186065</c:v>
                </c:pt>
                <c:pt idx="41">
                  <c:v>3.8604651162790717</c:v>
                </c:pt>
                <c:pt idx="42">
                  <c:v>3.930232558139537</c:v>
                </c:pt>
                <c:pt idx="43">
                  <c:v>4</c:v>
                </c:pt>
              </c:numCache>
            </c:numRef>
          </c:cat>
          <c:val>
            <c:numRef>
              <c:f>'Overall Metrics'!$E$2:$E$45</c:f>
              <c:numCache>
                <c:formatCode>General</c:formatCode>
                <c:ptCount val="44"/>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4</c:v>
                </c:pt>
                <c:pt idx="15">
                  <c:v>0</c:v>
                </c:pt>
                <c:pt idx="16">
                  <c:v>0</c:v>
                </c:pt>
                <c:pt idx="17">
                  <c:v>0</c:v>
                </c:pt>
                <c:pt idx="18">
                  <c:v>0</c:v>
                </c:pt>
                <c:pt idx="19">
                  <c:v>0</c:v>
                </c:pt>
                <c:pt idx="20">
                  <c:v>0</c:v>
                </c:pt>
                <c:pt idx="21">
                  <c:v>0</c:v>
                </c:pt>
                <c:pt idx="22">
                  <c:v>0</c:v>
                </c:pt>
                <c:pt idx="23">
                  <c:v>0</c:v>
                </c:pt>
                <c:pt idx="24">
                  <c:v>0</c:v>
                </c:pt>
                <c:pt idx="25">
                  <c:v>0</c:v>
                </c:pt>
                <c:pt idx="26">
                  <c:v>0</c:v>
                </c:pt>
                <c:pt idx="27">
                  <c:v>0</c:v>
                </c:pt>
                <c:pt idx="28">
                  <c:v>3</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ser>
        <c:gapWidth val="0"/>
        <c:axId val="100154752"/>
        <c:axId val="100190080"/>
      </c:barChart>
      <c:catAx>
        <c:axId val="100154752"/>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title>
        <c:numFmt formatCode="#,##0.00" sourceLinked="1"/>
        <c:tickLblPos val="none"/>
        <c:crossAx val="100190080"/>
        <c:crosses val="autoZero"/>
        <c:auto val="1"/>
        <c:lblAlgn val="ctr"/>
        <c:lblOffset val="100"/>
      </c:catAx>
      <c:valAx>
        <c:axId val="100190080"/>
        <c:scaling>
          <c:orientation val="minMax"/>
        </c:scaling>
        <c:axPos val="l"/>
        <c:majorGridlines/>
        <c:title>
          <c:tx>
            <c:rich>
              <a:bodyPr rot="-5400000" vert="horz"/>
              <a:lstStyle/>
              <a:p>
                <a:pPr>
                  <a:defRPr/>
                </a:pPr>
                <a:r>
                  <a:rPr lang="en-US"/>
                  <a:t>Frequency</a:t>
                </a:r>
              </a:p>
            </c:rich>
          </c:tx>
        </c:title>
        <c:numFmt formatCode="General" sourceLinked="1"/>
        <c:tickLblPos val="nextTo"/>
        <c:crossAx val="100154752"/>
        <c:crosses val="autoZero"/>
        <c:crossBetween val="between"/>
      </c:valAx>
    </c:plotArea>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1"/>
          <c:order val="0"/>
          <c:tx>
            <c:strRef>
              <c:f>'Overall Metrics'!$G$2</c:f>
              <c:strCache>
                <c:ptCount val="1"/>
                <c:pt idx="0">
                  <c:v>0</c:v>
                </c:pt>
              </c:strCache>
            </c:strRef>
          </c:tx>
          <c:spPr>
            <a:solidFill>
              <a:schemeClr val="accent1"/>
            </a:solidFill>
          </c:spPr>
          <c:cat>
            <c:numRef>
              <c:f>'Overall Metrics'!$F$2:$F$45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Metrics'!$G$2:$G$45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gapWidth val="0"/>
        <c:axId val="99231616"/>
        <c:axId val="99233792"/>
      </c:barChart>
      <c:catAx>
        <c:axId val="99231616"/>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title>
        <c:numFmt formatCode="#,##0.00" sourceLinked="1"/>
        <c:tickLblPos val="none"/>
        <c:crossAx val="99233792"/>
        <c:crosses val="autoZero"/>
        <c:auto val="1"/>
        <c:lblAlgn val="ctr"/>
        <c:lblOffset val="100"/>
      </c:catAx>
      <c:valAx>
        <c:axId val="99233792"/>
        <c:scaling>
          <c:orientation val="minMax"/>
        </c:scaling>
        <c:axPos val="l"/>
        <c:majorGridlines/>
        <c:title>
          <c:tx>
            <c:rich>
              <a:bodyPr rot="-5400000" vert="horz"/>
              <a:lstStyle/>
              <a:p>
                <a:pPr>
                  <a:defRPr/>
                </a:pPr>
                <a:r>
                  <a:rPr lang="en-US"/>
                  <a:t>Frequency</a:t>
                </a:r>
              </a:p>
            </c:rich>
          </c:tx>
        </c:title>
        <c:numFmt formatCode="General" sourceLinked="1"/>
        <c:tickLblPos val="nextTo"/>
        <c:crossAx val="99231616"/>
        <c:crosses val="autoZero"/>
        <c:crossBetween val="between"/>
      </c:valAx>
    </c:plotArea>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1"/>
          <c:order val="0"/>
          <c:tx>
            <c:strRef>
              <c:f>'Overall Metrics'!$I$2</c:f>
              <c:strCache>
                <c:ptCount val="1"/>
                <c:pt idx="0">
                  <c:v>0</c:v>
                </c:pt>
              </c:strCache>
            </c:strRef>
          </c:tx>
          <c:spPr>
            <a:solidFill>
              <a:schemeClr val="accent1"/>
            </a:solidFill>
          </c:spPr>
          <c:cat>
            <c:numRef>
              <c:f>'Overall Metrics'!$H$2:$H$45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Metrics'!$I$2:$I$45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gapWidth val="0"/>
        <c:axId val="99266560"/>
        <c:axId val="99268480"/>
      </c:barChart>
      <c:catAx>
        <c:axId val="99266560"/>
        <c:scaling>
          <c:orientation val="minMax"/>
        </c:scaling>
        <c:delete val="1"/>
        <c:axPos val="b"/>
        <c:title>
          <c:tx>
            <c:rich>
              <a:bodyPr/>
              <a:lstStyle/>
              <a:p>
                <a:pPr>
                  <a:defRPr/>
                </a:pPr>
                <a:r>
                  <a:rPr lang="en-US"/>
                  <a:t>Out-Degree</a:t>
                </a:r>
              </a:p>
            </c:rich>
          </c:tx>
          <c:layout>
            <c:manualLayout>
              <c:xMode val="edge"/>
              <c:yMode val="edge"/>
              <c:x val="0.41379516818709683"/>
              <c:y val="0.8089889086445029"/>
            </c:manualLayout>
          </c:layout>
        </c:title>
        <c:numFmt formatCode="#,##0.00" sourceLinked="1"/>
        <c:tickLblPos val="none"/>
        <c:crossAx val="99268480"/>
        <c:crosses val="autoZero"/>
        <c:auto val="1"/>
        <c:lblAlgn val="ctr"/>
        <c:lblOffset val="100"/>
      </c:catAx>
      <c:valAx>
        <c:axId val="99268480"/>
        <c:scaling>
          <c:orientation val="minMax"/>
        </c:scaling>
        <c:axPos val="l"/>
        <c:majorGridlines/>
        <c:title>
          <c:tx>
            <c:rich>
              <a:bodyPr rot="-5400000" vert="horz"/>
              <a:lstStyle/>
              <a:p>
                <a:pPr>
                  <a:defRPr/>
                </a:pPr>
                <a:r>
                  <a:rPr lang="en-US"/>
                  <a:t>Frequency</a:t>
                </a:r>
              </a:p>
            </c:rich>
          </c:tx>
        </c:title>
        <c:numFmt formatCode="General" sourceLinked="1"/>
        <c:tickLblPos val="nextTo"/>
        <c:crossAx val="99266560"/>
        <c:crosses val="autoZero"/>
        <c:crossBetween val="between"/>
      </c:valAx>
    </c:plotArea>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1"/>
          <c:order val="0"/>
          <c:tx>
            <c:strRef>
              <c:f>'Overall Metrics'!$K$2</c:f>
              <c:strCache>
                <c:ptCount val="1"/>
                <c:pt idx="0">
                  <c:v>0</c:v>
                </c:pt>
              </c:strCache>
            </c:strRef>
          </c:tx>
          <c:spPr>
            <a:solidFill>
              <a:schemeClr val="accent1"/>
            </a:solidFill>
          </c:spPr>
          <c:cat>
            <c:numRef>
              <c:f>'Overall Metrics'!$J$2:$J$45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Metrics'!$K$2:$K$45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gapWidth val="0"/>
        <c:axId val="100095872"/>
        <c:axId val="100098048"/>
      </c:barChart>
      <c:catAx>
        <c:axId val="100095872"/>
        <c:scaling>
          <c:orientation val="minMax"/>
        </c:scaling>
        <c:delete val="1"/>
        <c:axPos val="b"/>
        <c:title>
          <c:tx>
            <c:rich>
              <a:bodyPr/>
              <a:lstStyle/>
              <a:p>
                <a:pPr>
                  <a:defRPr/>
                </a:pPr>
                <a:r>
                  <a:rPr lang="en-US"/>
                  <a:t>Betweenness Centrality</a:t>
                </a:r>
              </a:p>
            </c:rich>
          </c:tx>
          <c:layout>
            <c:manualLayout>
              <c:xMode val="edge"/>
              <c:yMode val="edge"/>
              <c:x val="0.32728710116056137"/>
              <c:y val="0.82619320971975252"/>
            </c:manualLayout>
          </c:layout>
        </c:title>
        <c:numFmt formatCode="#,##0.00" sourceLinked="1"/>
        <c:tickLblPos val="none"/>
        <c:crossAx val="100098048"/>
        <c:crosses val="autoZero"/>
        <c:auto val="1"/>
        <c:lblAlgn val="ctr"/>
        <c:lblOffset val="100"/>
      </c:catAx>
      <c:valAx>
        <c:axId val="100098048"/>
        <c:scaling>
          <c:orientation val="minMax"/>
        </c:scaling>
        <c:axPos val="l"/>
        <c:majorGridlines/>
        <c:title>
          <c:tx>
            <c:rich>
              <a:bodyPr rot="-5400000" vert="horz"/>
              <a:lstStyle/>
              <a:p>
                <a:pPr>
                  <a:defRPr/>
                </a:pPr>
                <a:r>
                  <a:rPr lang="en-US"/>
                  <a:t>Frequency</a:t>
                </a:r>
              </a:p>
            </c:rich>
          </c:tx>
        </c:title>
        <c:numFmt formatCode="General" sourceLinked="1"/>
        <c:tickLblPos val="nextTo"/>
        <c:crossAx val="100095872"/>
        <c:crosses val="autoZero"/>
        <c:crossBetween val="between"/>
      </c:valAx>
    </c:plotArea>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1"/>
          <c:order val="0"/>
          <c:tx>
            <c:strRef>
              <c:f>'Overall Metrics'!$M$2</c:f>
              <c:strCache>
                <c:ptCount val="1"/>
                <c:pt idx="0">
                  <c:v>0</c:v>
                </c:pt>
              </c:strCache>
            </c:strRef>
          </c:tx>
          <c:spPr>
            <a:solidFill>
              <a:schemeClr val="accent1"/>
            </a:solidFill>
          </c:spPr>
          <c:cat>
            <c:numRef>
              <c:f>'Overall Metrics'!$L$2:$L$45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Metrics'!$M$2:$M$45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gapWidth val="0"/>
        <c:axId val="100597760"/>
        <c:axId val="100599680"/>
      </c:barChart>
      <c:catAx>
        <c:axId val="100597760"/>
        <c:scaling>
          <c:orientation val="minMax"/>
        </c:scaling>
        <c:delete val="1"/>
        <c:axPos val="b"/>
        <c:title>
          <c:tx>
            <c:rich>
              <a:bodyPr/>
              <a:lstStyle/>
              <a:p>
                <a:pPr>
                  <a:defRPr/>
                </a:pPr>
                <a:r>
                  <a:rPr lang="en-US"/>
                  <a:t>Closeness Centrality</a:t>
                </a:r>
              </a:p>
            </c:rich>
          </c:tx>
          <c:layout>
            <c:manualLayout>
              <c:xMode val="edge"/>
              <c:yMode val="edge"/>
              <c:x val="0.354060862874086"/>
              <c:y val="0.82619320971975252"/>
            </c:manualLayout>
          </c:layout>
        </c:title>
        <c:numFmt formatCode="#,##0.00" sourceLinked="1"/>
        <c:tickLblPos val="none"/>
        <c:crossAx val="100599680"/>
        <c:crosses val="autoZero"/>
        <c:auto val="1"/>
        <c:lblAlgn val="ctr"/>
        <c:lblOffset val="100"/>
      </c:catAx>
      <c:valAx>
        <c:axId val="100599680"/>
        <c:scaling>
          <c:orientation val="minMax"/>
        </c:scaling>
        <c:axPos val="l"/>
        <c:majorGridlines/>
        <c:title>
          <c:tx>
            <c:rich>
              <a:bodyPr rot="-5400000" vert="horz"/>
              <a:lstStyle/>
              <a:p>
                <a:pPr>
                  <a:defRPr/>
                </a:pPr>
                <a:r>
                  <a:rPr lang="en-US"/>
                  <a:t>Frequency</a:t>
                </a:r>
              </a:p>
            </c:rich>
          </c:tx>
        </c:title>
        <c:numFmt formatCode="General" sourceLinked="1"/>
        <c:tickLblPos val="nextTo"/>
        <c:crossAx val="100597760"/>
        <c:crosses val="autoZero"/>
        <c:crossBetween val="between"/>
      </c:valAx>
    </c:plotArea>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1"/>
          <c:order val="0"/>
          <c:tx>
            <c:strRef>
              <c:f>'Overall Metrics'!$O$2</c:f>
              <c:strCache>
                <c:ptCount val="1"/>
                <c:pt idx="0">
                  <c:v>0</c:v>
                </c:pt>
              </c:strCache>
            </c:strRef>
          </c:tx>
          <c:spPr>
            <a:solidFill>
              <a:schemeClr val="accent1"/>
            </a:solidFill>
          </c:spPr>
          <c:cat>
            <c:numRef>
              <c:f>'Overall Metrics'!$N$2:$N$45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Metrics'!$O$2:$O$45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gapWidth val="0"/>
        <c:axId val="100616064"/>
        <c:axId val="100622336"/>
      </c:barChart>
      <c:catAx>
        <c:axId val="100616064"/>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3377"/>
              <c:y val="0.82619320971975252"/>
            </c:manualLayout>
          </c:layout>
        </c:title>
        <c:numFmt formatCode="#,##0.00" sourceLinked="1"/>
        <c:tickLblPos val="none"/>
        <c:crossAx val="100622336"/>
        <c:crosses val="autoZero"/>
        <c:auto val="1"/>
        <c:lblAlgn val="ctr"/>
        <c:lblOffset val="100"/>
      </c:catAx>
      <c:valAx>
        <c:axId val="100622336"/>
        <c:scaling>
          <c:orientation val="minMax"/>
        </c:scaling>
        <c:axPos val="l"/>
        <c:majorGridlines/>
        <c:title>
          <c:tx>
            <c:rich>
              <a:bodyPr rot="-5400000" vert="horz"/>
              <a:lstStyle/>
              <a:p>
                <a:pPr>
                  <a:defRPr/>
                </a:pPr>
                <a:r>
                  <a:rPr lang="en-US"/>
                  <a:t>Frequency</a:t>
                </a:r>
              </a:p>
            </c:rich>
          </c:tx>
        </c:title>
        <c:numFmt formatCode="General" sourceLinked="1"/>
        <c:tickLblPos val="nextTo"/>
        <c:crossAx val="100616064"/>
        <c:crosses val="autoZero"/>
        <c:crossBetween val="between"/>
      </c:valAx>
    </c:plotArea>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1"/>
          <c:order val="0"/>
          <c:tx>
            <c:strRef>
              <c:f>'Overall Metrics'!$S$2</c:f>
              <c:strCache>
                <c:ptCount val="1"/>
                <c:pt idx="0">
                  <c:v>0</c:v>
                </c:pt>
              </c:strCache>
            </c:strRef>
          </c:tx>
          <c:spPr>
            <a:solidFill>
              <a:schemeClr val="accent1"/>
            </a:solidFill>
          </c:spPr>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Metrics'!$S$2:$S$45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gapWidth val="0"/>
        <c:axId val="100659200"/>
        <c:axId val="100661120"/>
      </c:barChart>
      <c:catAx>
        <c:axId val="100659200"/>
        <c:scaling>
          <c:orientation val="minMax"/>
        </c:scaling>
        <c:delete val="1"/>
        <c:axPos val="b"/>
        <c:title>
          <c:tx>
            <c:rich>
              <a:bodyPr/>
              <a:lstStyle/>
              <a:p>
                <a:pPr>
                  <a:defRPr/>
                </a:pPr>
                <a:r>
                  <a:rPr lang="en-US"/>
                  <a:t>Clustering Coefficient</a:t>
                </a:r>
              </a:p>
            </c:rich>
          </c:tx>
          <c:layout>
            <c:manualLayout>
              <c:xMode val="edge"/>
              <c:yMode val="edge"/>
              <c:x val="0.33732726180313394"/>
              <c:y val="0.82619320971975252"/>
            </c:manualLayout>
          </c:layout>
        </c:title>
        <c:numFmt formatCode="#,##0.00" sourceLinked="1"/>
        <c:tickLblPos val="none"/>
        <c:crossAx val="100661120"/>
        <c:crosses val="autoZero"/>
        <c:auto val="1"/>
        <c:lblAlgn val="ctr"/>
        <c:lblOffset val="100"/>
      </c:catAx>
      <c:valAx>
        <c:axId val="100661120"/>
        <c:scaling>
          <c:orientation val="minMax"/>
        </c:scaling>
        <c:axPos val="l"/>
        <c:majorGridlines/>
        <c:title>
          <c:tx>
            <c:rich>
              <a:bodyPr rot="-5400000" vert="horz"/>
              <a:lstStyle/>
              <a:p>
                <a:pPr>
                  <a:defRPr/>
                </a:pPr>
                <a:r>
                  <a:rPr lang="en-US"/>
                  <a:t>Frequency</a:t>
                </a:r>
              </a:p>
            </c:rich>
          </c:tx>
        </c:title>
        <c:numFmt formatCode="General" sourceLinked="1"/>
        <c:tickLblPos val="nextTo"/>
        <c:crossAx val="100659200"/>
        <c:crosses val="autoZero"/>
        <c:crossBetween val="between"/>
      </c:valAx>
    </c:plotArea>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1"/>
          <c:order val="0"/>
          <c:tx>
            <c:strRef>
              <c:f>'Overall Metrics'!$Q$2</c:f>
              <c:strCache>
                <c:ptCount val="1"/>
                <c:pt idx="0">
                  <c:v>0</c:v>
                </c:pt>
              </c:strCache>
            </c:strRef>
          </c:tx>
          <c:spPr>
            <a:solidFill>
              <a:schemeClr val="accent1"/>
            </a:solidFill>
          </c:spPr>
          <c:cat>
            <c:numRef>
              <c:f>'Overall Metrics'!$R$2:$R$45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Metrics'!$Q$2:$Q$45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gapWidth val="0"/>
        <c:axId val="110774144"/>
        <c:axId val="110784512"/>
      </c:barChart>
      <c:catAx>
        <c:axId val="110774144"/>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title>
        <c:numFmt formatCode="#,##0.00" sourceLinked="1"/>
        <c:tickLblPos val="none"/>
        <c:crossAx val="110784512"/>
        <c:crosses val="autoZero"/>
        <c:auto val="1"/>
        <c:lblAlgn val="ctr"/>
        <c:lblOffset val="100"/>
      </c:catAx>
      <c:valAx>
        <c:axId val="110784512"/>
        <c:scaling>
          <c:orientation val="minMax"/>
        </c:scaling>
        <c:axPos val="l"/>
        <c:majorGridlines/>
        <c:title>
          <c:tx>
            <c:rich>
              <a:bodyPr rot="-5400000" vert="horz"/>
              <a:lstStyle/>
              <a:p>
                <a:pPr>
                  <a:defRPr/>
                </a:pPr>
                <a:r>
                  <a:rPr lang="en-US"/>
                  <a:t>Frequency</a:t>
                </a:r>
              </a:p>
            </c:rich>
          </c:tx>
        </c:title>
        <c:numFmt formatCode="General" sourceLinked="1"/>
        <c:tickLblPos val="nextTo"/>
        <c:crossAx val="110774144"/>
        <c:crosses val="autoZero"/>
        <c:crossBetween val="between"/>
      </c:valAx>
    </c:plotArea>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2.763957987838685E-3"/>
          <c:y val="8.0430855234004828E-3"/>
          <c:w val="0.9972359288422028"/>
          <c:h val="0.98391246548723665"/>
        </c:manualLayout>
      </c:layout>
      <c:barChart>
        <c:barDir val="col"/>
        <c:grouping val="clustered"/>
        <c:ser>
          <c:idx val="1"/>
          <c:order val="0"/>
          <c:tx>
            <c:strRef>
              <c:f>'Overall Metrics'!$U$2</c:f>
              <c:strCache>
                <c:ptCount val="1"/>
                <c:pt idx="0">
                  <c:v>#REF!</c:v>
                </c:pt>
              </c:strCache>
            </c:strRef>
          </c:tx>
          <c:spPr>
            <a:solidFill>
              <a:schemeClr val="accent1"/>
            </a:solidFill>
          </c:spPr>
          <c:cat>
            <c:numRef>
              <c:f>'Overall Metrics'!$T$2:$T$45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Metrics'!$U$2:$U$45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gapWidth val="0"/>
        <c:axId val="110874624"/>
        <c:axId val="110876160"/>
      </c:barChart>
      <c:catAx>
        <c:axId val="110874624"/>
        <c:scaling>
          <c:orientation val="minMax"/>
        </c:scaling>
        <c:delete val="1"/>
        <c:axPos val="b"/>
        <c:numFmt formatCode="#,##0.00" sourceLinked="1"/>
        <c:tickLblPos val="none"/>
        <c:crossAx val="110876160"/>
        <c:crosses val="autoZero"/>
        <c:auto val="1"/>
        <c:lblAlgn val="ctr"/>
        <c:lblOffset val="100"/>
      </c:catAx>
      <c:valAx>
        <c:axId val="110876160"/>
        <c:scaling>
          <c:orientation val="minMax"/>
        </c:scaling>
        <c:delete val="1"/>
        <c:axPos val="l"/>
        <c:numFmt formatCode="General" sourceLinked="1"/>
        <c:tickLblPos val="none"/>
        <c:crossAx val="110874624"/>
        <c:crosses val="autoZero"/>
        <c:crossBetween val="between"/>
      </c:valAx>
      <c:spPr>
        <a:solidFill>
          <a:schemeClr val="bg1">
            <a:lumMod val="85000"/>
          </a:schemeClr>
        </a:solidFill>
        <a:ln>
          <a:noFill/>
        </a:ln>
      </c:spPr>
    </c:plotArea>
  </c:chart>
  <c:spPr>
    <a:noFill/>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xdr:colOff>
      <xdr:row>34</xdr:row>
      <xdr:rowOff>38100</xdr:rowOff>
    </xdr:from>
    <xdr:to>
      <xdr:col>1</xdr:col>
      <xdr:colOff>918209</xdr:colOff>
      <xdr:row>41</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48</xdr:row>
      <xdr:rowOff>38100</xdr:rowOff>
    </xdr:from>
    <xdr:to>
      <xdr:col>1</xdr:col>
      <xdr:colOff>918209</xdr:colOff>
      <xdr:row>55</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62</xdr:row>
      <xdr:rowOff>28575</xdr:rowOff>
    </xdr:from>
    <xdr:to>
      <xdr:col>1</xdr:col>
      <xdr:colOff>918209</xdr:colOff>
      <xdr:row>69</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76</xdr:row>
      <xdr:rowOff>9525</xdr:rowOff>
    </xdr:from>
    <xdr:to>
      <xdr:col>1</xdr:col>
      <xdr:colOff>918210</xdr:colOff>
      <xdr:row>83</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104</xdr:row>
      <xdr:rowOff>19050</xdr:rowOff>
    </xdr:from>
    <xdr:to>
      <xdr:col>1</xdr:col>
      <xdr:colOff>918210</xdr:colOff>
      <xdr:row>111</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132</xdr:row>
      <xdr:rowOff>9525</xdr:rowOff>
    </xdr:from>
    <xdr:to>
      <xdr:col>1</xdr:col>
      <xdr:colOff>918210</xdr:colOff>
      <xdr:row>139</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118</xdr:row>
      <xdr:rowOff>0</xdr:rowOff>
    </xdr:from>
    <xdr:to>
      <xdr:col>1</xdr:col>
      <xdr:colOff>918210</xdr:colOff>
      <xdr:row>125</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22</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N14" totalsRowShown="0" headerRowDxfId="95" dataDxfId="94">
  <autoFilter ref="A2:N14">
    <filterColumn colId="3"/>
    <filterColumn colId="4"/>
    <filterColumn colId="5"/>
    <filterColumn colId="6"/>
    <filterColumn colId="7"/>
    <filterColumn colId="8"/>
    <filterColumn colId="9"/>
    <filterColumn colId="10"/>
    <filterColumn colId="11"/>
    <filterColumn colId="12"/>
    <filterColumn colId="13"/>
  </autoFilter>
  <tableColumns count="14">
    <tableColumn id="1" name="Vertex 1" dataDxfId="93" dataCellStyle="NodeXL Required"/>
    <tableColumn id="2" name="Vertex 2" dataDxfId="92" dataCellStyle="NodeXL Required"/>
    <tableColumn id="3" name="Color" dataDxfId="91" dataCellStyle="NodeXL Visual Property"/>
    <tableColumn id="4" name="Width" dataDxfId="90" dataCellStyle="NodeXL Visual Property"/>
    <tableColumn id="11" name="Style" dataDxfId="89" dataCellStyle="NodeXL Visual Property"/>
    <tableColumn id="5" name="Opacity" dataDxfId="88" dataCellStyle="NodeXL Visual Property"/>
    <tableColumn id="6" name="Visibility" dataDxfId="87" dataCellStyle="NodeXL Visual Property"/>
    <tableColumn id="10" name="Label" dataDxfId="86" dataCellStyle="NodeXL Label"/>
    <tableColumn id="12" name="Label Text Color" dataDxfId="85" dataCellStyle="NodeXL Label"/>
    <tableColumn id="13" name="Label Font Size" dataDxfId="84" dataCellStyle="NodeXL Label"/>
    <tableColumn id="14" name="Reciprocated?" dataDxfId="83" dataCellStyle="NodeXL Graph Metric"/>
    <tableColumn id="7" name="ID" dataDxfId="82" dataCellStyle="NodeXL Do Not Edit"/>
    <tableColumn id="9" name="Dynamic Filter" dataDxfId="81" dataCellStyle="NodeXL Do Not Edit"/>
    <tableColumn id="8" name="Add Your Own Columns Here" dataDxfId="80" dataCellStyle="NodeXL Other 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D11" totalsRowShown="0" headerRowDxfId="79" dataDxfId="78">
  <autoFilter ref="A2:AD11">
    <filterColumn colId="1"/>
    <filterColumn colId="2"/>
    <filterColumn colId="3"/>
    <filterColumn colId="4"/>
    <filterColumn colId="5"/>
    <filterColumn colId="6"/>
    <filterColumn colId="7"/>
    <filterColumn colId="8"/>
    <filterColumn colId="9"/>
    <filterColumn colId="10"/>
    <filterColumn colId="11"/>
    <filterColumn colId="12"/>
    <filterColumn colId="13"/>
    <filterColumn colId="14"/>
    <filterColumn colId="15"/>
    <filterColumn colId="16"/>
    <filterColumn colId="17"/>
    <filterColumn colId="18"/>
    <filterColumn colId="19"/>
    <filterColumn colId="20"/>
    <filterColumn colId="21"/>
    <filterColumn colId="22"/>
    <filterColumn colId="23"/>
    <filterColumn colId="24"/>
    <filterColumn colId="25"/>
    <filterColumn colId="26"/>
    <filterColumn colId="27"/>
    <filterColumn colId="28"/>
    <filterColumn colId="29"/>
  </autoFilter>
  <tableColumns count="30">
    <tableColumn id="1" name="Vertex" dataDxfId="77" dataCellStyle="NodeXL Required"/>
    <tableColumn id="2" name="Color" dataDxfId="76" dataCellStyle="NodeXL Visual Property"/>
    <tableColumn id="5" name="Shape" dataDxfId="75" dataCellStyle="NodeXL Visual Property"/>
    <tableColumn id="6" name="Size" dataDxfId="74" dataCellStyle="NodeXL Visual Property"/>
    <tableColumn id="4" name="Opacity" dataDxfId="73" dataCellStyle="NodeXL Visual Property"/>
    <tableColumn id="7" name="Image File" dataDxfId="72" dataCellStyle="NodeXL Visual Property"/>
    <tableColumn id="3" name="Visibility" dataDxfId="71" dataCellStyle="NodeXL Visual Property"/>
    <tableColumn id="10" name="Label" dataDxfId="5" dataCellStyle="NodeXL Required"/>
    <tableColumn id="16" name="Label Fill Color" dataDxfId="70" dataCellStyle="NodeXL Label"/>
    <tableColumn id="9" name="Label Position" dataDxfId="69" dataCellStyle="NodeXL Label"/>
    <tableColumn id="8" name="Tooltip" dataDxfId="68" dataCellStyle="NodeXL Label"/>
    <tableColumn id="18" name="Layout Order" dataDxfId="67" dataCellStyle="NodeXL Layout"/>
    <tableColumn id="13" name="X" dataDxfId="66" dataCellStyle="NodeXL Layout"/>
    <tableColumn id="14" name="Y" dataDxfId="65" dataCellStyle="NodeXL Layout"/>
    <tableColumn id="12" name="Locked?" dataDxfId="64" dataCellStyle="NodeXL Layout"/>
    <tableColumn id="19" name="Polar R" dataDxfId="63" dataCellStyle="NodeXL Layout"/>
    <tableColumn id="20" name="Polar Angle" dataDxfId="2" dataCellStyle="NodeXL Layout"/>
    <tableColumn id="21" name="Degree" dataDxfId="0" dataCellStyle="NodeXL Graph Metric"/>
    <tableColumn id="22" name="In-Degree" dataDxfId="1" dataCellStyle="NodeXL Graph Metric"/>
    <tableColumn id="23" name="Out-Degree" dataDxfId="62" dataCellStyle="NodeXL Graph Metric"/>
    <tableColumn id="24" name="Betweenness Centrality" dataDxfId="61" dataCellStyle="NodeXL Graph Metric"/>
    <tableColumn id="25" name="Closeness Centrality" dataDxfId="60" dataCellStyle="NodeXL Graph Metric"/>
    <tableColumn id="26" name="Eigenvector Centrality" dataDxfId="59" dataCellStyle="NodeXL Graph Metric"/>
    <tableColumn id="15" name="PageRank" dataDxfId="58" dataCellStyle="NodeXL Graph Metric"/>
    <tableColumn id="27" name="Clustering Coefficient" dataDxfId="57" dataCellStyle="NodeXL Graph Metric"/>
    <tableColumn id="29" name="Reciprocated Vertex Pair Ratio" dataDxfId="56" dataCellStyle="NodeXL Graph Metric"/>
    <tableColumn id="11" name="ID" dataDxfId="55" dataCellStyle="NodeXL Do Not Edit"/>
    <tableColumn id="28" name="Dynamic Filter" dataDxfId="54" dataCellStyle="NodeXL Do Not Edit"/>
    <tableColumn id="17" name="SEXE" dataDxfId="53" dataCellStyle="NodeXL Other Column"/>
    <tableColumn id="30" name="Marked?" dataCellStyle="Normal"/>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2">
  <autoFilter ref="A2:X3">
    <filterColumn colId="1"/>
    <filterColumn colId="2"/>
    <filterColumn colId="3"/>
    <filterColumn colId="4"/>
    <filterColumn colId="5"/>
    <filterColumn colId="6"/>
    <filterColumn colId="7"/>
    <filterColumn colId="8"/>
    <filterColumn colId="9"/>
    <filterColumn colId="10"/>
    <filterColumn colId="11"/>
    <filterColumn colId="12"/>
    <filterColumn colId="13"/>
    <filterColumn colId="14"/>
    <filterColumn colId="15"/>
    <filterColumn colId="16"/>
    <filterColumn colId="17"/>
    <filterColumn colId="18"/>
    <filterColumn colId="19"/>
    <filterColumn colId="20"/>
    <filterColumn colId="21"/>
    <filterColumn colId="22"/>
    <filterColumn colId="23"/>
  </autoFilter>
  <tableColumns count="24">
    <tableColumn id="1" name="Group" dataDxfId="51" dataCellStyle="NodeXL Required"/>
    <tableColumn id="2" name="Vertex Color" dataDxfId="50" dataCellStyle="NodeXL Visual Property"/>
    <tableColumn id="3" name="Vertex Shape" dataDxfId="49" dataCellStyle="NodeXL Visual Property"/>
    <tableColumn id="22" name="Visibility" dataDxfId="48" dataCellStyle="NodeXL Visual Property"/>
    <tableColumn id="4" name="Collapsed?" dataCellStyle="NodeXL Visual Property"/>
    <tableColumn id="18" name="Label" dataDxfId="47" dataCellStyle="NodeXL Label"/>
    <tableColumn id="20" name="Collapsed X" dataCellStyle="NodeXL Layout"/>
    <tableColumn id="21" name="Collapsed Y" dataCellStyle="NodeXL Layout"/>
    <tableColumn id="6" name="ID" dataDxfId="46" dataCellStyle="NodeXL Do Not Edit"/>
    <tableColumn id="19" name="Collapsed Properties" dataDxfId="45" dataCellStyle="NodeXL Do Not Edit"/>
    <tableColumn id="5" name="Vertices" dataDxfId="44" dataCellStyle="NodeXL Graph Metric"/>
    <tableColumn id="7" name="Unique Edges" dataDxfId="43" dataCellStyle="NodeXL Graph Metric"/>
    <tableColumn id="8" name="Edges With Duplicates" dataDxfId="42" dataCellStyle="NodeXL Graph Metric"/>
    <tableColumn id="9" name="Total Edges" dataDxfId="41" dataCellStyle="NodeXL Graph Metric"/>
    <tableColumn id="10" name="Self-Loops" dataDxfId="40" dataCellStyle="NodeXL Graph Metric"/>
    <tableColumn id="24" name="Reciprocated Vertex Pair Ratio" dataDxfId="39" dataCellStyle="NodeXL Graph Metric"/>
    <tableColumn id="25" name="Reciprocated Edge Ratio" dataDxfId="38" dataCellStyle="NodeXL Graph Metric"/>
    <tableColumn id="11" name="Connected Components" dataDxfId="37" dataCellStyle="NodeXL Graph Metric"/>
    <tableColumn id="12" name="Single-Vertex Connected Components" dataDxfId="36" dataCellStyle="NodeXL Graph Metric"/>
    <tableColumn id="13" name="Maximum Vertices in a Connected Component" dataDxfId="35" dataCellStyle="NodeXL Graph Metric"/>
    <tableColumn id="14" name="Maximum Edges in a Connected Component" dataDxfId="34" dataCellStyle="NodeXL Graph Metric"/>
    <tableColumn id="15" name="Maximum Geodesic Distance (Diameter)" dataDxfId="33" dataCellStyle="NodeXL Graph Metric"/>
    <tableColumn id="16" name="Average Geodesic Distance" dataDxfId="32" dataCellStyle="NodeXL Graph Metric"/>
    <tableColumn id="17" name="Graph Density" dataDxfId="31" dataCellStyle="NodeXL Graph Metric"/>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30" dataDxfId="29">
  <autoFilter ref="A1:C2">
    <filterColumn colId="2"/>
  </autoFilter>
  <tableColumns count="3">
    <tableColumn id="1" name="Group" dataDxfId="28"/>
    <tableColumn id="2" name="Vertex" dataDxfId="27"/>
    <tableColumn id="3" name="Vertex ID" dataDxfId="26"/>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dataCellStyle="NodeXL Graph Metric">
  <autoFilter ref="A1:B26"/>
  <tableColumns count="2">
    <tableColumn id="1" name="Graph Metric" dataDxfId="4" dataCellStyle="NodeXL Graph Metric"/>
    <tableColumn id="2" name="Value" dataDxfId="3"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filterColumn colId="2"/>
    <filterColumn colId="3"/>
    <filterColumn colId="4"/>
    <filterColumn colId="5"/>
    <filterColumn colId="6"/>
    <filterColumn colId="7"/>
    <filterColumn colId="8"/>
    <filterColumn colId="9"/>
    <filterColumn colId="10"/>
    <filterColumn colId="11"/>
    <filterColumn colId="12"/>
    <filterColumn colId="13"/>
    <filterColumn colId="14"/>
    <filterColumn colId="15"/>
    <filterColumn colId="16"/>
    <filterColumn colId="17"/>
  </autoFilter>
  <tableColumns count="18">
    <tableColumn id="1" name="Degree Bin" dataDxfId="25"/>
    <tableColumn id="2" name="Degree Frequency" dataDxfId="24">
      <calculatedColumnFormula>COUNTIF(Vertices[Degree], "&gt;= " &amp; D2) - COUNTIF(Vertices[Degree], "&gt;=" &amp; D3)</calculatedColumnFormula>
    </tableColumn>
    <tableColumn id="3" name="In-Degree Bin" dataDxfId="23"/>
    <tableColumn id="4" name="In-Degree Frequency" dataDxfId="22">
      <calculatedColumnFormula>COUNTIF(Vertices[In-Degree], "&gt;= " &amp; F2) - COUNTIF(Vertices[In-Degree], "&gt;=" &amp; F3)</calculatedColumnFormula>
    </tableColumn>
    <tableColumn id="5" name="Out-Degree Bin" dataDxfId="21"/>
    <tableColumn id="6" name="Out-Degree Frequency" dataDxfId="20">
      <calculatedColumnFormula>COUNTIF(Vertices[Out-Degree], "&gt;= " &amp; H2) - COUNTIF(Vertices[Out-Degree], "&gt;=" &amp; H3)</calculatedColumnFormula>
    </tableColumn>
    <tableColumn id="7" name="Betweenness Centrality Bin" dataDxfId="19"/>
    <tableColumn id="8" name="Betweenness Centrality Frequency" dataDxfId="18">
      <calculatedColumnFormula>COUNTIF(Vertices[Betweenness Centrality], "&gt;= " &amp; J2) - COUNTIF(Vertices[Betweenness Centrality], "&gt;=" &amp; J3)</calculatedColumnFormula>
    </tableColumn>
    <tableColumn id="9" name="Closeness Centrality Bin" dataDxfId="17"/>
    <tableColumn id="10" name="Closeness Centrality Frequency" dataDxfId="16">
      <calculatedColumnFormula>COUNTIF(Vertices[Closeness Centrality], "&gt;= " &amp; L2) - COUNTIF(Vertices[Closeness Centrality], "&gt;=" &amp; L3)</calculatedColumnFormula>
    </tableColumn>
    <tableColumn id="11" name="Eigenvector Centrality Bin" dataDxfId="15"/>
    <tableColumn id="12" name="Eigenvector Centrality Frequency" dataDxfId="14">
      <calculatedColumnFormula>COUNTIF(Vertices[Eigenvector Centrality], "&gt;= " &amp; N2) - COUNTIF(Vertices[Eigenvector Centrality], "&gt;=" &amp; N3)</calculatedColumnFormula>
    </tableColumn>
    <tableColumn id="18" name="PageRank Bin" dataDxfId="13"/>
    <tableColumn id="17" name="PageRank Frequency" dataDxfId="12">
      <calculatedColumnFormula>COUNTIF(Vertices[Eigenvector Centrality], "&gt;= " &amp; P2) - COUNTIF(Vertices[Eigenvector Centrality], "&gt;=" &amp; P3)</calculatedColumnFormula>
    </tableColumn>
    <tableColumn id="13" name="Clustering Coefficient Bin" dataDxfId="11"/>
    <tableColumn id="14" name="Clustering Coefficient Frequency" dataDxfId="10">
      <calculatedColumnFormula>COUNTIF(Vertices[Clustering Coefficient], "&gt;= " &amp; R2) - COUNTIF(Vertices[Clustering Coefficient], "&gt;=" &amp; R3)</calculatedColumnFormula>
    </tableColumn>
    <tableColumn id="15" name="Dynamic Filter Bin" dataDxfId="9"/>
    <tableColumn id="16" name="Dynamic Filter Frequency" dataDxfId="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dataCellStyle="NodeXL Graph Metric">
  <autoFilter ref="A29:B32"/>
  <tableColumns count="2">
    <tableColumn id="1" name="Readability Metric" dataCellStyle="NodeXL Graph Metric"/>
    <tableColumn id="2" name="Value" dataCellStyle="NodeXL Graph Metric"/>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7">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8.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sheetPr codeName="Sheet1"/>
  <dimension ref="A1:N23"/>
  <sheetViews>
    <sheetView workbookViewId="0">
      <pane xSplit="2" ySplit="2" topLeftCell="C3" activePane="bottomRight" state="frozen"/>
      <selection pane="topRight" activeCell="C1" sqref="C1"/>
      <selection pane="bottomLeft" activeCell="A3" sqref="A3"/>
      <selection pane="bottomRight" activeCell="E6" sqref="E6"/>
    </sheetView>
  </sheetViews>
  <sheetFormatPr baseColWidth="10" defaultColWidth="9.140625" defaultRowHeight="15"/>
  <cols>
    <col min="1" max="2" width="1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8" style="1" bestFit="1" customWidth="1"/>
    <col min="9" max="9" width="12.28515625" style="3" bestFit="1" customWidth="1"/>
    <col min="10" max="10" width="12.42578125" style="3" bestFit="1" customWidth="1"/>
    <col min="11" max="11" width="15.5703125" style="3" customWidth="1"/>
    <col min="12" max="12" width="11" hidden="1" customWidth="1"/>
    <col min="13" max="13" width="10.85546875" hidden="1" customWidth="1"/>
    <col min="14" max="14" width="16" bestFit="1" customWidth="1"/>
  </cols>
  <sheetData>
    <row r="1" spans="1:14">
      <c r="C1" s="18" t="s">
        <v>40</v>
      </c>
      <c r="D1" s="19"/>
      <c r="E1" s="19"/>
      <c r="F1" s="19"/>
      <c r="G1" s="18"/>
      <c r="H1" s="16" t="s">
        <v>44</v>
      </c>
      <c r="I1" s="66"/>
      <c r="J1" s="66"/>
      <c r="K1" s="35" t="s">
        <v>43</v>
      </c>
      <c r="L1" s="20" t="s">
        <v>41</v>
      </c>
      <c r="M1" s="20"/>
      <c r="N1" s="17" t="s">
        <v>42</v>
      </c>
    </row>
    <row r="2" spans="1:14"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row>
    <row r="3" spans="1:14" ht="15" customHeight="1">
      <c r="A3" s="50" t="s">
        <v>175</v>
      </c>
      <c r="B3" s="50" t="s">
        <v>176</v>
      </c>
      <c r="C3" s="54"/>
      <c r="D3" s="55"/>
      <c r="E3" s="67"/>
      <c r="F3" s="56"/>
      <c r="G3" s="54"/>
      <c r="H3" s="58"/>
      <c r="I3" s="57"/>
      <c r="J3" s="57"/>
      <c r="K3" s="69"/>
      <c r="L3" s="63">
        <v>3</v>
      </c>
      <c r="M3" s="63"/>
      <c r="N3" s="64"/>
    </row>
    <row r="4" spans="1:14" ht="15" customHeight="1">
      <c r="A4" s="83" t="s">
        <v>176</v>
      </c>
      <c r="B4" s="83" t="s">
        <v>177</v>
      </c>
      <c r="C4" s="84"/>
      <c r="D4" s="85"/>
      <c r="E4" s="86"/>
      <c r="F4" s="87"/>
      <c r="G4" s="84"/>
      <c r="H4" s="88"/>
      <c r="I4" s="89"/>
      <c r="J4" s="89"/>
      <c r="K4" s="90"/>
      <c r="L4" s="91">
        <v>4</v>
      </c>
      <c r="M4" s="91"/>
      <c r="N4" s="92"/>
    </row>
    <row r="5" spans="1:14">
      <c r="A5" s="83" t="s">
        <v>177</v>
      </c>
      <c r="B5" s="83" t="s">
        <v>178</v>
      </c>
      <c r="C5" s="84"/>
      <c r="D5" s="85"/>
      <c r="E5" s="86"/>
      <c r="F5" s="87"/>
      <c r="G5" s="84"/>
      <c r="H5" s="88"/>
      <c r="I5" s="89"/>
      <c r="J5" s="89"/>
      <c r="K5" s="90"/>
      <c r="L5" s="91">
        <v>5</v>
      </c>
      <c r="M5" s="91"/>
      <c r="N5" s="92"/>
    </row>
    <row r="6" spans="1:14">
      <c r="A6" s="83" t="s">
        <v>179</v>
      </c>
      <c r="B6" s="83" t="s">
        <v>175</v>
      </c>
      <c r="C6" s="84"/>
      <c r="D6" s="85"/>
      <c r="E6" s="86"/>
      <c r="F6" s="87"/>
      <c r="G6" s="84"/>
      <c r="H6" s="88"/>
      <c r="I6" s="89"/>
      <c r="J6" s="89"/>
      <c r="K6" s="90"/>
      <c r="L6" s="91">
        <v>6</v>
      </c>
      <c r="M6" s="91"/>
      <c r="N6" s="92"/>
    </row>
    <row r="7" spans="1:14">
      <c r="A7" s="83" t="s">
        <v>180</v>
      </c>
      <c r="B7" s="83" t="s">
        <v>181</v>
      </c>
      <c r="C7" s="84"/>
      <c r="D7" s="85"/>
      <c r="E7" s="86"/>
      <c r="F7" s="87"/>
      <c r="G7" s="84"/>
      <c r="H7" s="88"/>
      <c r="I7" s="89"/>
      <c r="J7" s="89"/>
      <c r="K7" s="90"/>
      <c r="L7" s="91">
        <v>7</v>
      </c>
      <c r="M7" s="91"/>
      <c r="N7" s="92"/>
    </row>
    <row r="8" spans="1:14">
      <c r="A8" s="83" t="s">
        <v>182</v>
      </c>
      <c r="B8" s="83" t="s">
        <v>181</v>
      </c>
      <c r="C8" s="84"/>
      <c r="D8" s="85"/>
      <c r="E8" s="86"/>
      <c r="F8" s="87"/>
      <c r="G8" s="84"/>
      <c r="H8" s="88"/>
      <c r="I8" s="89"/>
      <c r="J8" s="89"/>
      <c r="K8" s="90"/>
      <c r="L8" s="91">
        <v>8</v>
      </c>
      <c r="M8" s="91"/>
      <c r="N8" s="92"/>
    </row>
    <row r="9" spans="1:14">
      <c r="A9" s="83" t="s">
        <v>182</v>
      </c>
      <c r="B9" s="83" t="s">
        <v>180</v>
      </c>
      <c r="C9" s="84"/>
      <c r="D9" s="85"/>
      <c r="E9" s="86"/>
      <c r="F9" s="87"/>
      <c r="G9" s="84"/>
      <c r="H9" s="88"/>
      <c r="I9" s="89"/>
      <c r="J9" s="89"/>
      <c r="K9" s="90"/>
      <c r="L9" s="91">
        <v>9</v>
      </c>
      <c r="M9" s="91"/>
      <c r="N9" s="92"/>
    </row>
    <row r="10" spans="1:14">
      <c r="A10" s="83" t="s">
        <v>177</v>
      </c>
      <c r="B10" s="83" t="s">
        <v>183</v>
      </c>
      <c r="C10" s="84"/>
      <c r="D10" s="85"/>
      <c r="E10" s="86"/>
      <c r="F10" s="87"/>
      <c r="G10" s="84"/>
      <c r="H10" s="88"/>
      <c r="I10" s="89"/>
      <c r="J10" s="89"/>
      <c r="K10" s="90"/>
      <c r="L10" s="91">
        <v>10</v>
      </c>
      <c r="M10" s="91"/>
      <c r="N10" s="92"/>
    </row>
    <row r="11" spans="1:14">
      <c r="A11" s="83" t="s">
        <v>178</v>
      </c>
      <c r="B11" s="83" t="s">
        <v>176</v>
      </c>
      <c r="C11" s="84"/>
      <c r="D11" s="85"/>
      <c r="E11" s="86"/>
      <c r="F11" s="87"/>
      <c r="G11" s="84"/>
      <c r="H11" s="88"/>
      <c r="I11" s="89"/>
      <c r="J11" s="89"/>
      <c r="K11" s="90"/>
      <c r="L11" s="91">
        <v>11</v>
      </c>
      <c r="M11" s="91"/>
      <c r="N11" s="92"/>
    </row>
    <row r="12" spans="1:14">
      <c r="A12" s="83" t="s">
        <v>176</v>
      </c>
      <c r="B12" s="83" t="s">
        <v>183</v>
      </c>
      <c r="C12" s="84"/>
      <c r="D12" s="85"/>
      <c r="E12" s="86"/>
      <c r="F12" s="87"/>
      <c r="G12" s="84"/>
      <c r="H12" s="88"/>
      <c r="I12" s="89"/>
      <c r="J12" s="89"/>
      <c r="K12" s="90"/>
      <c r="L12" s="91">
        <v>12</v>
      </c>
      <c r="M12" s="91"/>
      <c r="N12" s="92"/>
    </row>
    <row r="13" spans="1:14">
      <c r="A13" s="83" t="s">
        <v>177</v>
      </c>
      <c r="B13" s="83" t="s">
        <v>183</v>
      </c>
      <c r="C13" s="84"/>
      <c r="D13" s="85"/>
      <c r="E13" s="86"/>
      <c r="F13" s="87"/>
      <c r="G13" s="84"/>
      <c r="H13" s="88"/>
      <c r="I13" s="89"/>
      <c r="J13" s="89"/>
      <c r="K13" s="90"/>
      <c r="L13" s="91">
        <v>13</v>
      </c>
      <c r="M13" s="91"/>
      <c r="N13" s="92"/>
    </row>
    <row r="14" spans="1:14">
      <c r="A14" s="83" t="s">
        <v>183</v>
      </c>
      <c r="B14" s="83" t="s">
        <v>178</v>
      </c>
      <c r="C14" s="84"/>
      <c r="D14" s="85"/>
      <c r="E14" s="86"/>
      <c r="F14" s="87"/>
      <c r="G14" s="84"/>
      <c r="H14" s="88"/>
      <c r="I14" s="89"/>
      <c r="J14" s="89"/>
      <c r="K14" s="90"/>
      <c r="L14" s="91">
        <v>14</v>
      </c>
      <c r="M14" s="91"/>
      <c r="N14" s="92"/>
    </row>
    <row r="23" spans="13:13">
      <c r="M23" s="7"/>
    </row>
  </sheetData>
  <dataConsolidate/>
  <dataValidations count="1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L3:L14"/>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M3:M14"/>
    <dataValidation allowBlank="1" showErrorMessage="1" sqref="N2:N1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I3:I1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J3:J14"/>
    <dataValidation allowBlank="1" showInputMessage="1" promptTitle="Edge Color" prompt="To select an optional edge color, right-click and select Select Color on the right-click menu." sqref="C3:C14"/>
    <dataValidation allowBlank="1" showInputMessage="1" errorTitle="Invalid Edge Width" error="The optional edge width must be a whole number between 1 and 10." promptTitle="Edge Width" prompt="Enter an optional edge width between 1 and 10." sqref="D3:D14"/>
    <dataValidation allowBlank="1" showInputMessage="1" errorTitle="Invalid Edge Opacity" error="The optional edge opacity must be a whole number between 0 and 10." promptTitle="Edge Opacity" prompt="Enter an optional edge opacity between 0 (transparent) and 100 (opaque)." sqref="F3:F14"/>
    <dataValidation type="list" allowBlank="1" showInputMessage="1" showErrorMessage="1" errorTitle="Invalid Edge Visibility" error="You have entered an invalid edge visibility.  Try selecting from the drop-down list instead." promptTitle="Edge Visibility" prompt="Select an optional edge visibility.  Edges are shown by default."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errorTitle="Invalid Edge Visibility" error="You have entered an unrecognized edge visibility.  Try selecting from the drop-down list instead." promptTitle="Edge Label" prompt="Enter an optional edge label." sqref="H3:H14"/>
    <dataValidation type="list" allowBlank="1" showInputMessage="1" showErrorMessage="1" errorTitle="Invalid Edge Style" error="You have entered an invalid edge style.  Try selecting from the drop-down list instead." promptTitle="Edge Style" prompt="Select an optional edge style.  Edges are Solid by default."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ageMargins left="0.7" right="0.7" top="0.75" bottom="0.75" header="0.3" footer="0.3"/>
  <pageSetup orientation="portrait" horizontalDpi="0"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sheetPr codeName="Sheet2"/>
  <dimension ref="A1:AI11"/>
  <sheetViews>
    <sheetView tabSelected="1" workbookViewId="0">
      <pane xSplit="1" ySplit="2" topLeftCell="J3" activePane="bottomRight" state="frozen"/>
      <selection pane="topRight" activeCell="B1" sqref="B1"/>
      <selection pane="bottomLeft" activeCell="A3" sqref="A3"/>
      <selection pane="bottomRight" activeCell="O14" sqref="O14"/>
    </sheetView>
  </sheetViews>
  <sheetFormatPr baseColWidth="10" defaultColWidth="9.140625" defaultRowHeight="15"/>
  <cols>
    <col min="1" max="1" width="9.140625" style="1"/>
    <col min="2" max="2" width="7.85546875" customWidth="1"/>
    <col min="3" max="3" width="8.5703125" customWidth="1"/>
    <col min="4" max="4" width="6.7109375" customWidth="1"/>
    <col min="5" max="5" width="9.85546875" customWidth="1"/>
    <col min="6" max="6" width="7.7109375" customWidth="1"/>
    <col min="7" max="7" width="11" customWidth="1"/>
    <col min="8" max="8" width="8.5703125" customWidth="1"/>
    <col min="9" max="9" width="9.7109375" customWidth="1"/>
    <col min="10" max="10" width="10.5703125" style="3" customWidth="1"/>
    <col min="11" max="12" width="9.140625" customWidth="1"/>
    <col min="13" max="14" width="13.140625" customWidth="1"/>
    <col min="15" max="15" width="10.28515625" customWidth="1"/>
    <col min="16" max="16" width="6.42578125" customWidth="1"/>
    <col min="17" max="17" width="8.28515625" customWidth="1"/>
    <col min="18" max="18" width="9.5703125" customWidth="1"/>
    <col min="19" max="19" width="9.28515625" customWidth="1"/>
    <col min="20" max="20" width="9.5703125" customWidth="1"/>
    <col min="21" max="23" width="14.28515625" customWidth="1"/>
    <col min="24" max="24" width="11.85546875" customWidth="1"/>
    <col min="25" max="25" width="14.42578125" customWidth="1"/>
    <col min="26" max="26" width="18.28515625" customWidth="1"/>
    <col min="27" max="27" width="5" style="3" hidden="1" customWidth="1"/>
    <col min="28" max="28" width="16" style="3" hidden="1" customWidth="1"/>
    <col min="29" max="29" width="16" style="6" bestFit="1" customWidth="1"/>
    <col min="30" max="30" width="11" style="2" bestFit="1" customWidth="1"/>
    <col min="31" max="32" width="14.28515625" style="3" customWidth="1"/>
    <col min="33" max="33" width="11.85546875" style="3" customWidth="1"/>
    <col min="34" max="34" width="14.42578125" style="3" customWidth="1"/>
    <col min="35" max="35" width="5" customWidth="1"/>
    <col min="36" max="36" width="16" customWidth="1"/>
    <col min="37" max="37" width="16" bestFit="1" customWidth="1"/>
    <col min="38" max="39" width="9.140625" customWidth="1"/>
  </cols>
  <sheetData>
    <row r="1" spans="1:3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5"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194</v>
      </c>
      <c r="AD2" t="s">
        <v>191</v>
      </c>
      <c r="AG2"/>
      <c r="AH2"/>
    </row>
    <row r="3" spans="1:35" ht="15" customHeight="1">
      <c r="A3" s="50" t="s">
        <v>175</v>
      </c>
      <c r="B3" s="54" t="s">
        <v>197</v>
      </c>
      <c r="C3" s="54"/>
      <c r="D3" s="55">
        <v>4.333333333333333</v>
      </c>
      <c r="E3" s="56"/>
      <c r="F3" s="54"/>
      <c r="G3" s="54"/>
      <c r="H3" s="50" t="s">
        <v>175</v>
      </c>
      <c r="I3" s="57"/>
      <c r="J3" s="57"/>
      <c r="K3" s="58"/>
      <c r="L3" s="60"/>
      <c r="M3" s="61">
        <v>7791.13330078125</v>
      </c>
      <c r="N3" s="61">
        <v>3229.910400390625</v>
      </c>
      <c r="O3" s="59" t="s">
        <v>67</v>
      </c>
      <c r="P3" s="62"/>
      <c r="Q3" s="62"/>
      <c r="R3" s="51">
        <v>2</v>
      </c>
      <c r="S3" s="51"/>
      <c r="T3" s="51"/>
      <c r="U3" s="51"/>
      <c r="V3" s="52"/>
      <c r="W3" s="52"/>
      <c r="X3" s="53"/>
      <c r="Y3" s="52"/>
      <c r="Z3" s="52"/>
      <c r="AA3" s="63">
        <v>3</v>
      </c>
      <c r="AB3" s="63"/>
      <c r="AC3" s="64" t="s">
        <v>192</v>
      </c>
      <c r="AD3"/>
      <c r="AG3"/>
      <c r="AH3"/>
    </row>
    <row r="4" spans="1:35">
      <c r="A4" s="14" t="s">
        <v>176</v>
      </c>
      <c r="B4" s="15" t="s">
        <v>198</v>
      </c>
      <c r="C4" s="15"/>
      <c r="D4" s="55">
        <v>10</v>
      </c>
      <c r="E4" s="81"/>
      <c r="F4" s="15"/>
      <c r="G4" s="15"/>
      <c r="H4" s="14" t="s">
        <v>176</v>
      </c>
      <c r="I4" s="68"/>
      <c r="J4" s="68"/>
      <c r="K4" s="16"/>
      <c r="L4" s="93"/>
      <c r="M4" s="94">
        <v>5658.275390625</v>
      </c>
      <c r="N4" s="94">
        <v>6422.15380859375</v>
      </c>
      <c r="O4" s="79" t="s">
        <v>67</v>
      </c>
      <c r="P4" s="95"/>
      <c r="Q4" s="95"/>
      <c r="R4" s="51">
        <v>4</v>
      </c>
      <c r="S4" s="96"/>
      <c r="T4" s="96"/>
      <c r="U4" s="96"/>
      <c r="V4" s="53"/>
      <c r="W4" s="53"/>
      <c r="X4" s="53"/>
      <c r="Y4" s="53"/>
      <c r="Z4" s="52"/>
      <c r="AA4" s="82">
        <v>4</v>
      </c>
      <c r="AB4" s="82"/>
      <c r="AC4" s="97" t="s">
        <v>193</v>
      </c>
      <c r="AD4"/>
      <c r="AE4" s="2"/>
      <c r="AI4" s="3"/>
    </row>
    <row r="5" spans="1:35">
      <c r="A5" s="14" t="s">
        <v>177</v>
      </c>
      <c r="B5" s="15" t="s">
        <v>198</v>
      </c>
      <c r="C5" s="15"/>
      <c r="D5" s="55">
        <v>7.166666666666667</v>
      </c>
      <c r="E5" s="81"/>
      <c r="F5" s="15"/>
      <c r="G5" s="15"/>
      <c r="H5" s="14" t="s">
        <v>177</v>
      </c>
      <c r="I5" s="68"/>
      <c r="J5" s="68"/>
      <c r="K5" s="16"/>
      <c r="L5" s="93"/>
      <c r="M5" s="94">
        <v>936.13134765625</v>
      </c>
      <c r="N5" s="94">
        <v>7865.462890625</v>
      </c>
      <c r="O5" s="79" t="s">
        <v>67</v>
      </c>
      <c r="P5" s="95"/>
      <c r="Q5" s="95"/>
      <c r="R5" s="51">
        <v>3</v>
      </c>
      <c r="S5" s="96"/>
      <c r="T5" s="96"/>
      <c r="U5" s="96"/>
      <c r="V5" s="53"/>
      <c r="W5" s="53"/>
      <c r="X5" s="53"/>
      <c r="Y5" s="53"/>
      <c r="Z5" s="52"/>
      <c r="AA5" s="82">
        <v>5</v>
      </c>
      <c r="AB5" s="82"/>
      <c r="AC5" s="97" t="s">
        <v>193</v>
      </c>
      <c r="AD5"/>
      <c r="AE5" s="2"/>
      <c r="AI5" s="3"/>
    </row>
    <row r="6" spans="1:35">
      <c r="A6" s="14" t="s">
        <v>178</v>
      </c>
      <c r="B6" s="15" t="s">
        <v>197</v>
      </c>
      <c r="C6" s="15"/>
      <c r="D6" s="55">
        <v>7.166666666666667</v>
      </c>
      <c r="E6" s="81"/>
      <c r="F6" s="15"/>
      <c r="G6" s="15"/>
      <c r="H6" s="14" t="s">
        <v>178</v>
      </c>
      <c r="I6" s="68"/>
      <c r="J6" s="68"/>
      <c r="K6" s="16"/>
      <c r="L6" s="93"/>
      <c r="M6" s="94">
        <v>3357.725830078125</v>
      </c>
      <c r="N6" s="94">
        <v>9740.892578125</v>
      </c>
      <c r="O6" s="79" t="s">
        <v>67</v>
      </c>
      <c r="P6" s="95"/>
      <c r="Q6" s="95"/>
      <c r="R6" s="51">
        <v>3</v>
      </c>
      <c r="S6" s="96"/>
      <c r="T6" s="96"/>
      <c r="U6" s="96"/>
      <c r="V6" s="53"/>
      <c r="W6" s="53"/>
      <c r="X6" s="53"/>
      <c r="Y6" s="53"/>
      <c r="Z6" s="52"/>
      <c r="AA6" s="82">
        <v>6</v>
      </c>
      <c r="AB6" s="82"/>
      <c r="AC6" s="97" t="s">
        <v>192</v>
      </c>
      <c r="AD6"/>
      <c r="AE6" s="2"/>
      <c r="AI6" s="3"/>
    </row>
    <row r="7" spans="1:35">
      <c r="A7" s="14" t="s">
        <v>179</v>
      </c>
      <c r="B7" s="15" t="s">
        <v>197</v>
      </c>
      <c r="C7" s="15"/>
      <c r="D7" s="55">
        <v>1.5</v>
      </c>
      <c r="E7" s="81"/>
      <c r="F7" s="15"/>
      <c r="G7" s="15"/>
      <c r="H7" s="14" t="s">
        <v>179</v>
      </c>
      <c r="I7" s="68"/>
      <c r="J7" s="68"/>
      <c r="K7" s="16"/>
      <c r="L7" s="93"/>
      <c r="M7" s="94">
        <v>9608.9921875</v>
      </c>
      <c r="N7" s="94">
        <v>514.72216796875</v>
      </c>
      <c r="O7" s="79" t="s">
        <v>67</v>
      </c>
      <c r="P7" s="95"/>
      <c r="Q7" s="95"/>
      <c r="R7" s="51">
        <v>1</v>
      </c>
      <c r="S7" s="96"/>
      <c r="T7" s="96"/>
      <c r="U7" s="96"/>
      <c r="V7" s="53"/>
      <c r="W7" s="53"/>
      <c r="X7" s="53"/>
      <c r="Y7" s="53"/>
      <c r="Z7" s="52"/>
      <c r="AA7" s="82">
        <v>7</v>
      </c>
      <c r="AB7" s="82"/>
      <c r="AC7" s="97" t="s">
        <v>192</v>
      </c>
      <c r="AD7"/>
      <c r="AE7" s="2"/>
      <c r="AI7" s="3"/>
    </row>
    <row r="8" spans="1:35">
      <c r="A8" s="14" t="s">
        <v>180</v>
      </c>
      <c r="B8" s="15" t="s">
        <v>198</v>
      </c>
      <c r="C8" s="15"/>
      <c r="D8" s="55">
        <v>4.333333333333333</v>
      </c>
      <c r="E8" s="81"/>
      <c r="F8" s="15"/>
      <c r="G8" s="15"/>
      <c r="H8" s="14" t="s">
        <v>180</v>
      </c>
      <c r="I8" s="68"/>
      <c r="J8" s="68"/>
      <c r="K8" s="16"/>
      <c r="L8" s="93"/>
      <c r="M8" s="94">
        <v>2146.214599609375</v>
      </c>
      <c r="N8" s="94">
        <v>2558.470458984375</v>
      </c>
      <c r="O8" s="79" t="s">
        <v>67</v>
      </c>
      <c r="P8" s="95"/>
      <c r="Q8" s="95"/>
      <c r="R8" s="51">
        <v>2</v>
      </c>
      <c r="S8" s="96"/>
      <c r="T8" s="96"/>
      <c r="U8" s="96"/>
      <c r="V8" s="53"/>
      <c r="W8" s="53"/>
      <c r="X8" s="53"/>
      <c r="Y8" s="53"/>
      <c r="Z8" s="52"/>
      <c r="AA8" s="82">
        <v>8</v>
      </c>
      <c r="AB8" s="82"/>
      <c r="AC8" s="97" t="s">
        <v>193</v>
      </c>
      <c r="AD8"/>
      <c r="AE8" s="2"/>
      <c r="AI8" s="3"/>
    </row>
    <row r="9" spans="1:35">
      <c r="A9" s="14" t="s">
        <v>181</v>
      </c>
      <c r="B9" s="15" t="s">
        <v>197</v>
      </c>
      <c r="C9" s="15"/>
      <c r="D9" s="55">
        <v>4.333333333333333</v>
      </c>
      <c r="E9" s="81"/>
      <c r="F9" s="15"/>
      <c r="G9" s="15"/>
      <c r="H9" s="14" t="s">
        <v>181</v>
      </c>
      <c r="I9" s="68"/>
      <c r="J9" s="68"/>
      <c r="K9" s="16"/>
      <c r="L9" s="93"/>
      <c r="M9" s="94">
        <v>4030.41552734375</v>
      </c>
      <c r="N9" s="94">
        <v>5136.3193359375</v>
      </c>
      <c r="O9" s="79" t="s">
        <v>67</v>
      </c>
      <c r="P9" s="95"/>
      <c r="Q9" s="95"/>
      <c r="R9" s="51">
        <v>2</v>
      </c>
      <c r="S9" s="96"/>
      <c r="T9" s="96"/>
      <c r="U9" s="96"/>
      <c r="V9" s="53"/>
      <c r="W9" s="53"/>
      <c r="X9" s="53"/>
      <c r="Y9" s="53"/>
      <c r="Z9" s="52"/>
      <c r="AA9" s="82">
        <v>9</v>
      </c>
      <c r="AB9" s="82"/>
      <c r="AC9" s="97" t="s">
        <v>192</v>
      </c>
      <c r="AD9"/>
      <c r="AE9" s="2"/>
      <c r="AI9" s="3"/>
    </row>
    <row r="10" spans="1:35">
      <c r="A10" s="14" t="s">
        <v>182</v>
      </c>
      <c r="B10" s="15" t="s">
        <v>198</v>
      </c>
      <c r="C10" s="15"/>
      <c r="D10" s="55">
        <v>4.333333333333333</v>
      </c>
      <c r="E10" s="81"/>
      <c r="F10" s="15"/>
      <c r="G10" s="15"/>
      <c r="H10" s="14" t="s">
        <v>182</v>
      </c>
      <c r="I10" s="68"/>
      <c r="J10" s="68"/>
      <c r="K10" s="16"/>
      <c r="L10" s="93"/>
      <c r="M10" s="94">
        <v>268.88656616210938</v>
      </c>
      <c r="N10" s="94">
        <v>5629.91162109375</v>
      </c>
      <c r="O10" s="79" t="s">
        <v>67</v>
      </c>
      <c r="P10" s="95"/>
      <c r="Q10" s="95"/>
      <c r="R10" s="51">
        <v>2</v>
      </c>
      <c r="S10" s="96"/>
      <c r="T10" s="96"/>
      <c r="U10" s="96"/>
      <c r="V10" s="53"/>
      <c r="W10" s="53"/>
      <c r="X10" s="53"/>
      <c r="Y10" s="53"/>
      <c r="Z10" s="52"/>
      <c r="AA10" s="82">
        <v>10</v>
      </c>
      <c r="AB10" s="82"/>
      <c r="AC10" s="97" t="s">
        <v>193</v>
      </c>
      <c r="AD10"/>
      <c r="AE10" s="2"/>
      <c r="AI10" s="3"/>
    </row>
    <row r="11" spans="1:35">
      <c r="A11" s="14" t="s">
        <v>183</v>
      </c>
      <c r="B11" s="15" t="s">
        <v>197</v>
      </c>
      <c r="C11" s="15"/>
      <c r="D11" s="55">
        <v>7.166666666666667</v>
      </c>
      <c r="E11" s="81"/>
      <c r="F11" s="15"/>
      <c r="G11" s="15"/>
      <c r="H11" s="14" t="s">
        <v>183</v>
      </c>
      <c r="I11" s="68"/>
      <c r="J11" s="68"/>
      <c r="K11" s="16"/>
      <c r="L11" s="93"/>
      <c r="M11" s="94">
        <v>7412.470703125</v>
      </c>
      <c r="N11" s="94">
        <v>9420.974609375</v>
      </c>
      <c r="O11" s="79" t="s">
        <v>67</v>
      </c>
      <c r="P11" s="95"/>
      <c r="Q11" s="95"/>
      <c r="R11" s="51">
        <v>3</v>
      </c>
      <c r="S11" s="96"/>
      <c r="T11" s="96"/>
      <c r="U11" s="96"/>
      <c r="V11" s="53"/>
      <c r="W11" s="53"/>
      <c r="X11" s="53"/>
      <c r="Y11" s="53"/>
      <c r="Z11" s="52"/>
      <c r="AA11" s="82">
        <v>11</v>
      </c>
      <c r="AB11" s="82"/>
      <c r="AC11" s="97" t="s">
        <v>192</v>
      </c>
      <c r="AD11"/>
      <c r="AE11" s="2"/>
      <c r="AI11" s="3"/>
    </row>
  </sheetData>
  <dataConsolidate/>
  <dataValidations count="19">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AA3:AA11"/>
    <dataValidation allowBlank="1" errorTitle="Invalid Vertex Visibility" error="You have entered an unrecognized vertex visibility.  Try selecting from the drop-down list instead." sqref="AE3"/>
    <dataValidation allowBlank="1" showErrorMessage="1" sqref="AE2"/>
    <dataValidation type="list" allowBlank="1" showInputMessage="1" showErrorMessage="1" errorTitle="Invalid Vertex Locked" error="You have entered an invalid vertex &quot;locked.&quot;  Try selecting from the drop-down list instead." promptTitle="Vertex Locked?" prompt="Set to Yes to lock the vertex at its current location." sqref="O3:O11">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If you enter X and Y values, you should set NodeXL, Graph, Layout to &quot;None&quot; to prevent NodeXL from overwriting your values when you show the graph." sqref="M3:N11"/>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and stacked in the graph." sqref="L3:L11"/>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P3:P11"/>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Q3:Q11"/>
    <dataValidation allowBlank="1" showInputMessage="1" errorTitle="Invalid Vertex Image Key" promptTitle="Vertex Tooltip" prompt="Enter optional text that will pop up when the mouse is hovered over the vertex." sqref="K3:K11"/>
    <dataValidation allowBlank="1" errorTitle="Invalid Vertex Visibility" error="You have entered an unrecognized vertex visibility.  Try selecting from the drop-down list instead." promptTitle="Vertex ID" prompt="This is a unique ID that gets filled in automatically.  Do not edit this column." sqref="AB3:AB11"/>
    <dataValidation type="list" allowBlank="1" showInputMessage="1" showErrorMessage="1" errorTitle="Invalid Vertex Visibility" error="You have entered an invalid vertex visibility.  Try selecting from the drop-down list instead." promptTitle="Vertex Visibility" prompt="Select an optional vertex visibility.  Vertices are &quot;Show if in an Edge&quot; by default." sqref="G3:G11">
      <formula1>ValidVertexVisibilities</formula1>
    </dataValidation>
    <dataValidation allowBlank="1" showInputMessage="1" promptTitle="Vertex Label Fill Color" prompt="To select an optional fill color for the Label shape, right-click and select Select Color on the right-click menu." sqref="I3:I11"/>
    <dataValidation allowBlank="1" showInputMessage="1" errorTitle="Invalid Vertex Image Key" promptTitle="Vertex Image File" prompt="Enter the path to an image file.  Hover over the column header for examples." sqref="F3:F11"/>
    <dataValidation allowBlank="1" showInputMessage="1" promptTitle="Vertex Color" prompt="To select an optional vertex color, right-click and select Select Color on the right-click menu." sqref="B3:B11"/>
    <dataValidation allowBlank="1" showInputMessage="1" errorTitle="Invalid Vertex Opacity" error="The optional vertex opacity must be a whole number between 0 and 10." promptTitle="Vertex Opacity" prompt="Enter an optional vertex opacity between 0 (transparent) and 100 (opaque)." sqref="E3:E11"/>
    <dataValidation type="list" allowBlank="1" showInputMessage="1" showErrorMessage="1" errorTitle="Invalid Vertex Shape" error="You have entered an invalid vertex shape.  Try selecting from the drop-down list instead." promptTitle="Vertex Shape" prompt="Select an optional vertex shape." sqref="C3:C11">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0." sqref="D3:D11"/>
    <dataValidation type="list" allowBlank="1" showInputMessage="1" showErrorMessage="1" errorTitle="Invalid Vertex Label Position" error="You have entered an invalid vertex label position.  Try selecting from the drop-down list instead." promptTitle="Vertex Label Position" prompt="Select an optional vertex label position." sqref="J3:J11">
      <formula1>ValidVertexLabelPositions</formula1>
    </dataValidation>
    <dataValidation allowBlank="1" showInputMessage="1" showErrorMessage="1" promptTitle="Vertex Name" prompt="Enter the name of the vertex." sqref="A3:A11 H3:H11"/>
  </dataValidations>
  <pageMargins left="0.7" right="0.7" top="0.75" bottom="0.75" header="0.3" footer="0.3"/>
  <pageSetup orientation="portrait" horizontalDpi="0" verticalDpi="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3"/>
  <dimension ref="A1:D21"/>
  <sheetViews>
    <sheetView workbookViewId="0"/>
  </sheetViews>
  <sheetFormatPr baseColWidth="10" defaultColWidth="9.140625" defaultRowHeight="15"/>
  <cols>
    <col min="1" max="1" width="10.85546875" style="3" bestFit="1" customWidth="1"/>
    <col min="2" max="2" width="16.85546875" style="3" bestFit="1" customWidth="1"/>
    <col min="4" max="5" width="9.140625" customWidth="1"/>
  </cols>
  <sheetData>
    <row r="1" spans="1:1">
      <c r="A1" s="3" t="s">
        <v>50</v>
      </c>
    </row>
    <row r="2" spans="1:1" ht="15" customHeight="1"/>
    <row r="3" spans="1:1" ht="15" customHeight="1">
      <c r="A3" s="32" t="s">
        <v>51</v>
      </c>
    </row>
    <row r="21" spans="4:4">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sheetPr codeName="Sheet5"/>
  <dimension ref="A1:X10"/>
  <sheetViews>
    <sheetView workbookViewId="0">
      <pane ySplit="2" topLeftCell="A3" activePane="bottomLeft" state="frozen"/>
      <selection pane="bottomLeft" activeCell="A2" sqref="A2:X2"/>
    </sheetView>
  </sheetViews>
  <sheetFormatPr baseColWidth="10" defaultColWidth="9.140625" defaultRowHeight="15"/>
  <cols>
    <col min="1" max="1" width="9.42578125" style="1" bestFit="1" customWidth="1"/>
    <col min="2" max="2" width="14.28515625" bestFit="1" customWidth="1"/>
    <col min="3" max="3" width="15" bestFit="1" customWidth="1"/>
    <col min="4" max="4" width="11.140625" bestFit="1" customWidth="1"/>
    <col min="5" max="5" width="13" bestFit="1" customWidth="1"/>
    <col min="6" max="6" width="8" bestFit="1" customWidth="1"/>
    <col min="7" max="8" width="13.5703125" customWidth="1"/>
    <col min="9" max="9" width="11" hidden="1" customWidth="1"/>
    <col min="10" max="10" width="12.5703125" hidden="1" customWidth="1"/>
    <col min="11" max="11" width="11" customWidth="1"/>
    <col min="12" max="12" width="9.7109375" customWidth="1"/>
    <col min="13" max="13" width="13.140625" customWidth="1"/>
    <col min="14" max="15" width="8.42578125" customWidth="1"/>
    <col min="16" max="16" width="18.28515625" customWidth="1"/>
    <col min="17" max="17" width="14.85546875" customWidth="1"/>
    <col min="18" max="18" width="14.5703125" customWidth="1"/>
    <col min="19" max="21" width="24.140625" customWidth="1"/>
    <col min="22" max="22" width="21.28515625" customWidth="1"/>
    <col min="23" max="23" width="19.28515625" customWidth="1"/>
    <col min="24" max="24" width="10" customWidth="1"/>
    <col min="25" max="25" width="13" customWidth="1"/>
  </cols>
  <sheetData>
    <row r="1" spans="1:24">
      <c r="B1" s="70" t="s">
        <v>40</v>
      </c>
      <c r="C1" s="71"/>
      <c r="D1" s="71"/>
      <c r="E1" s="72"/>
      <c r="F1" s="68" t="s">
        <v>44</v>
      </c>
      <c r="G1" s="73" t="s">
        <v>45</v>
      </c>
      <c r="H1" s="74"/>
      <c r="I1" s="75" t="s">
        <v>41</v>
      </c>
      <c r="J1" s="76"/>
      <c r="K1" s="77" t="s">
        <v>43</v>
      </c>
      <c r="L1" s="78"/>
      <c r="M1" s="78"/>
      <c r="N1" s="78"/>
      <c r="O1" s="78"/>
      <c r="P1" s="78"/>
      <c r="Q1" s="78"/>
      <c r="R1" s="78"/>
      <c r="S1" s="78"/>
      <c r="T1" s="78"/>
      <c r="U1" s="78"/>
      <c r="V1" s="78"/>
      <c r="W1" s="78"/>
      <c r="X1" s="78"/>
    </row>
    <row r="2" spans="1:24"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row>
    <row r="3" spans="1:24">
      <c r="A3" s="14"/>
      <c r="B3" s="15"/>
      <c r="C3" s="15"/>
      <c r="D3" s="15"/>
      <c r="E3" s="15"/>
      <c r="F3" s="16"/>
      <c r="G3" s="79"/>
      <c r="H3" s="79"/>
      <c r="I3" s="65"/>
      <c r="J3" s="65"/>
      <c r="K3" s="48"/>
      <c r="L3" s="48"/>
      <c r="M3" s="48"/>
      <c r="N3" s="48"/>
      <c r="O3" s="48"/>
      <c r="P3" s="48"/>
      <c r="Q3" s="48"/>
      <c r="R3" s="48"/>
      <c r="S3" s="48"/>
      <c r="T3" s="48"/>
      <c r="U3" s="48"/>
      <c r="V3" s="48"/>
      <c r="W3" s="49"/>
      <c r="X3" s="49"/>
    </row>
    <row r="10" spans="1:24" ht="14.25" customHeight="1"/>
  </sheetData>
  <dataConsolidate/>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errorTitle="Invalid Group Vertex Shape" error="You have entered an invalid group vertex shape.  Try selecting from the drop-down list instead." promptTitle="Group Vertex Shape" prompt="Select a shape to use for all vertices in the group." sqref="C3">
      <formula1>ValidGroupShapes</formula1>
    </dataValidation>
    <dataValidation allowBlank="1" showInputMessage="1" showErrorMessage="1" promptTitle="Group Name" prompt="Enter the name of the group." sqref="A3"/>
    <dataValidation type="list" allowBlank="1" showInputMessage="1" showErrorMessage="1" errorTitle="Invalid Group Collapsed" error="You have entered an invalid group &quot;collapsed.&quot;  Try selecting from the drop-down list instead." promptTitle="Group Collapsed?" prompt="Set to Yes to collapse the group." sqref="E3">
      <formula1>ValidBooleansDefaultFalse</formula1>
    </dataValidation>
    <dataValidation allowBlank="1" sqref="K3"/>
    <dataValidation allowBlank="1" showInputMessage="1" showErrorMessage="1" errorTitle="Invalid Group Collapsed" error="You have entered an unrecognized &quot;group collapsed.&quot;  Try selecting from the drop-down list instead." promptTitle="Group Label" prompt="Enter an optional group label." sqref="F3"/>
    <dataValidation allowBlank="1" showInputMessage="1" showErrorMessage="1" errorTitle="Invalid Group Collapsed" error="You have entered an unrecognized &quot;group collapsed.&quot;  Try selecting from the drop-down list instead."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sqref="G3:H3"/>
    <dataValidation type="list" allowBlank="1" showInputMessage="1" showErrorMessage="1" errorTitle="Invalid Group Visibility" error="You have entered an invalid group visibility.  Try selecting from the drop-down list instead." promptTitle="Group Visibility" prompt="Select an optional group visibility.  Groups are shown by default." sqref="D3">
      <formula1>ValidGroupVisibilities</formula1>
    </dataValidation>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sheetPr codeName="Sheet6"/>
  <dimension ref="A1:C2"/>
  <sheetViews>
    <sheetView workbookViewId="0">
      <selection activeCell="A2" sqref="A2"/>
    </sheetView>
  </sheetViews>
  <sheetFormatPr baseColWidth="10" defaultColWidth="9.140625" defaultRowHeight="15"/>
  <cols>
    <col min="1" max="1" width="9.42578125" style="1" bestFit="1" customWidth="1"/>
    <col min="2" max="2" width="9.140625" style="1"/>
    <col min="3" max="3" width="11.5703125" bestFit="1" customWidth="1"/>
    <col min="4" max="4" width="9.140625" customWidth="1"/>
  </cols>
  <sheetData>
    <row r="1" spans="1:3">
      <c r="A1" s="1" t="s">
        <v>145</v>
      </c>
      <c r="B1" s="1" t="s">
        <v>5</v>
      </c>
      <c r="C1" s="1" t="s">
        <v>148</v>
      </c>
    </row>
    <row r="2" spans="1:3">
      <c r="C2" s="3"/>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sheetPr codeName="Sheet7"/>
  <dimension ref="A1:X144"/>
  <sheetViews>
    <sheetView workbookViewId="0">
      <selection activeCell="A2" sqref="A2"/>
    </sheetView>
  </sheetViews>
  <sheetFormatPr baseColWidth="10" defaultColWidth="9.140625" defaultRowHeight="1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c r="A1" s="13" t="s">
        <v>163</v>
      </c>
      <c r="B1" s="13" t="s">
        <v>17</v>
      </c>
      <c r="D1" t="s">
        <v>80</v>
      </c>
      <c r="E1" t="s">
        <v>81</v>
      </c>
      <c r="F1" s="37" t="s">
        <v>87</v>
      </c>
      <c r="G1" s="38" t="s">
        <v>88</v>
      </c>
      <c r="H1" s="37" t="s">
        <v>93</v>
      </c>
      <c r="I1" s="38" t="s">
        <v>94</v>
      </c>
      <c r="J1" s="37" t="s">
        <v>99</v>
      </c>
      <c r="K1" s="38" t="s">
        <v>100</v>
      </c>
      <c r="L1" s="37" t="s">
        <v>105</v>
      </c>
      <c r="M1" s="38" t="s">
        <v>106</v>
      </c>
      <c r="N1" s="37" t="s">
        <v>111</v>
      </c>
      <c r="O1" s="38" t="s">
        <v>112</v>
      </c>
      <c r="P1" s="38" t="s">
        <v>139</v>
      </c>
      <c r="Q1" s="38" t="s">
        <v>140</v>
      </c>
      <c r="R1" s="37" t="s">
        <v>117</v>
      </c>
      <c r="S1" s="37" t="s">
        <v>118</v>
      </c>
      <c r="T1" s="37" t="s">
        <v>123</v>
      </c>
      <c r="U1" s="38" t="s">
        <v>124</v>
      </c>
      <c r="W1" t="s">
        <v>128</v>
      </c>
      <c r="X1" t="s">
        <v>17</v>
      </c>
    </row>
    <row r="2" spans="1:24" ht="15.75" thickTop="1">
      <c r="A2" s="36" t="s">
        <v>186</v>
      </c>
      <c r="B2" s="36" t="s">
        <v>31</v>
      </c>
      <c r="D2" s="33">
        <f>MIN(Vertices[Degree])</f>
        <v>1</v>
      </c>
      <c r="E2" s="3">
        <f>COUNTIF(Vertices[Degree], "&gt;= " &amp; D2) - COUNTIF(Vertices[Degree], "&gt;=" &amp; D3)</f>
        <v>1</v>
      </c>
      <c r="F2" s="39">
        <f>MIN(Vertices[In-Degree])</f>
        <v>0</v>
      </c>
      <c r="G2" s="40">
        <f>COUNTIF(Vertices[In-Degree], "&gt;= " &amp; F2) - COUNTIF(Vertices[In-Degree], "&gt;=" &amp; F3)</f>
        <v>0</v>
      </c>
      <c r="H2" s="39">
        <f>MIN(Vertices[Out-Degree])</f>
        <v>0</v>
      </c>
      <c r="I2" s="40">
        <f>COUNTIF(Vertices[Out-Degree], "&gt;= " &amp; H2) - COUNTIF(Vertices[Out-Degree], "&gt;=" &amp; H3)</f>
        <v>0</v>
      </c>
      <c r="J2" s="39">
        <f>MIN(Vertices[Betweenness Centrality])</f>
        <v>0</v>
      </c>
      <c r="K2" s="40">
        <f>COUNTIF(Vertices[Betweenness Centrality], "&gt;= " &amp; J2) - COUNTIF(Vertices[Betweenness Centrality], "&gt;=" &amp; J3)</f>
        <v>0</v>
      </c>
      <c r="L2" s="39">
        <f>MIN(Vertices[Closeness Centrality])</f>
        <v>0</v>
      </c>
      <c r="M2" s="40">
        <f>COUNTIF(Vertices[Closeness Centrality], "&gt;= " &amp; L2) - COUNTIF(Vertices[Closeness Centrality], "&gt;=" &amp; L3)</f>
        <v>0</v>
      </c>
      <c r="N2" s="39">
        <f>MIN(Vertices[Eigenvector Centrality])</f>
        <v>0</v>
      </c>
      <c r="O2" s="40">
        <f>COUNTIF(Vertices[Eigenvector Centrality], "&gt;= " &amp; N2) - COUNTIF(Vertices[Eigenvector Centrality], "&gt;=" &amp; N3)</f>
        <v>0</v>
      </c>
      <c r="P2" s="39">
        <f>MIN(Vertices[PageRank])</f>
        <v>0</v>
      </c>
      <c r="Q2" s="40">
        <f>COUNTIF(Vertices[PageRank], "&gt;= " &amp; P2) - COUNTIF(Vertices[PageRank], "&gt;=" &amp; P3)</f>
        <v>0</v>
      </c>
      <c r="R2" s="39">
        <f>MIN(Vertices[Clustering Coefficient])</f>
        <v>0</v>
      </c>
      <c r="S2" s="45">
        <f>COUNTIF(Vertices[Clustering Coefficient], "&gt;= " &amp; R2) - COUNTIF(Vertices[Clustering Coefficient], "&gt;=" &amp; R3)</f>
        <v>0</v>
      </c>
      <c r="T2" s="39" t="e">
        <f ca="1">MIN(INDIRECT(DynamicFilterSourceColumnRange))</f>
        <v>#REF!</v>
      </c>
      <c r="U2" s="40" t="e">
        <f t="shared" ref="U2:U45" ca="1" si="0">COUNTIF(INDIRECT(DynamicFilterSourceColumnRange), "&gt;= " &amp; T2) - COUNTIF(INDIRECT(DynamicFilterSourceColumnRange), "&gt;=" &amp; T3)</f>
        <v>#REF!</v>
      </c>
      <c r="W2" t="s">
        <v>125</v>
      </c>
      <c r="X2">
        <f>ROWS(HistogramBins[Degree Bin]) - 1</f>
        <v>43</v>
      </c>
    </row>
    <row r="3" spans="1:24">
      <c r="A3" s="98"/>
      <c r="B3" s="98"/>
      <c r="D3" s="34">
        <f t="shared" ref="D3:D44" si="1">D2+($D$45-$D$2)/BinDivisor</f>
        <v>1.069767441860465</v>
      </c>
      <c r="E3" s="3">
        <f>COUNTIF(Vertices[Degree], "&gt;= " &amp; D3) - COUNTIF(Vertices[Degree], "&gt;=" &amp; D4)</f>
        <v>0</v>
      </c>
      <c r="F3" s="41">
        <f t="shared" ref="F3:F44" si="2">F2+($F$45-$F$2)/BinDivisor</f>
        <v>0</v>
      </c>
      <c r="G3" s="42">
        <f>COUNTIF(Vertices[In-Degree], "&gt;= " &amp; F3) - COUNTIF(Vertices[In-Degree], "&gt;=" &amp; F4)</f>
        <v>0</v>
      </c>
      <c r="H3" s="41">
        <f t="shared" ref="H3:H44" si="3">H2+($H$45-$H$2)/BinDivisor</f>
        <v>0</v>
      </c>
      <c r="I3" s="42">
        <f>COUNTIF(Vertices[Out-Degree], "&gt;= " &amp; H3) - COUNTIF(Vertices[Out-Degree], "&gt;=" &amp; H4)</f>
        <v>0</v>
      </c>
      <c r="J3" s="41">
        <f t="shared" ref="J3:J44" si="4">J2+($J$45-$J$2)/BinDivisor</f>
        <v>0</v>
      </c>
      <c r="K3" s="42">
        <f>COUNTIF(Vertices[Betweenness Centrality], "&gt;= " &amp; J3) - COUNTIF(Vertices[Betweenness Centrality], "&gt;=" &amp; J4)</f>
        <v>0</v>
      </c>
      <c r="L3" s="41">
        <f t="shared" ref="L3:L44" si="5">L2+($L$45-$L$2)/BinDivisor</f>
        <v>0</v>
      </c>
      <c r="M3" s="42">
        <f>COUNTIF(Vertices[Closeness Centrality], "&gt;= " &amp; L3) - COUNTIF(Vertices[Closeness Centrality], "&gt;=" &amp; L4)</f>
        <v>0</v>
      </c>
      <c r="N3" s="41">
        <f t="shared" ref="N3:N44" si="6">N2+($N$45-$N$2)/BinDivisor</f>
        <v>0</v>
      </c>
      <c r="O3" s="42">
        <f>COUNTIF(Vertices[Eigenvector Centrality], "&gt;= " &amp; N3) - COUNTIF(Vertices[Eigenvector Centrality], "&gt;=" &amp; N4)</f>
        <v>0</v>
      </c>
      <c r="P3" s="41">
        <f t="shared" ref="P3:P44" si="7">P2+($P$45-$P$2)/BinDivisor</f>
        <v>0</v>
      </c>
      <c r="Q3" s="42">
        <f>COUNTIF(Vertices[PageRank], "&gt;= " &amp; P3) - COUNTIF(Vertices[PageRank], "&gt;=" &amp; P4)</f>
        <v>0</v>
      </c>
      <c r="R3" s="41">
        <f t="shared" ref="R3:R44" si="8">R2+($R$45-$R$2)/BinDivisor</f>
        <v>0</v>
      </c>
      <c r="S3" s="46">
        <f>COUNTIF(Vertices[Clustering Coefficient], "&gt;= " &amp; R3) - COUNTIF(Vertices[Clustering Coefficient], "&gt;=" &amp; R4)</f>
        <v>0</v>
      </c>
      <c r="T3" s="41" t="e">
        <f t="shared" ref="T3:T44" ca="1" si="9">T2+($T$45-$T$2)/BinDivisor</f>
        <v>#REF!</v>
      </c>
      <c r="U3" s="42" t="e">
        <f t="shared" ca="1" si="0"/>
        <v>#REF!</v>
      </c>
      <c r="W3" t="s">
        <v>126</v>
      </c>
      <c r="X3" t="s">
        <v>86</v>
      </c>
    </row>
    <row r="4" spans="1:24">
      <c r="A4" s="36" t="s">
        <v>147</v>
      </c>
      <c r="B4" s="36">
        <v>9</v>
      </c>
      <c r="D4" s="34">
        <f t="shared" si="1"/>
        <v>1.13953488372093</v>
      </c>
      <c r="E4" s="3">
        <f>COUNTIF(Vertices[Degree], "&gt;= " &amp; D4) - COUNTIF(Vertices[Degree], "&gt;=" &amp; D5)</f>
        <v>0</v>
      </c>
      <c r="F4" s="39">
        <f t="shared" si="2"/>
        <v>0</v>
      </c>
      <c r="G4" s="40">
        <f>COUNTIF(Vertices[In-Degree], "&gt;= " &amp; F4) - COUNTIF(Vertices[In-Degree], "&gt;=" &amp; F5)</f>
        <v>0</v>
      </c>
      <c r="H4" s="39">
        <f t="shared" si="3"/>
        <v>0</v>
      </c>
      <c r="I4" s="40">
        <f>COUNTIF(Vertices[Out-Degree], "&gt;= " &amp; H4) - COUNTIF(Vertices[Out-Degree], "&gt;=" &amp; H5)</f>
        <v>0</v>
      </c>
      <c r="J4" s="39">
        <f t="shared" si="4"/>
        <v>0</v>
      </c>
      <c r="K4" s="40">
        <f>COUNTIF(Vertices[Betweenness Centrality], "&gt;= " &amp; J4) - COUNTIF(Vertices[Betweenness Centrality], "&gt;=" &amp; J5)</f>
        <v>0</v>
      </c>
      <c r="L4" s="39">
        <f t="shared" si="5"/>
        <v>0</v>
      </c>
      <c r="M4" s="40">
        <f>COUNTIF(Vertices[Closeness Centrality], "&gt;= " &amp; L4) - COUNTIF(Vertices[Closeness Centrality], "&gt;=" &amp; L5)</f>
        <v>0</v>
      </c>
      <c r="N4" s="39">
        <f t="shared" si="6"/>
        <v>0</v>
      </c>
      <c r="O4" s="40">
        <f>COUNTIF(Vertices[Eigenvector Centrality], "&gt;= " &amp; N4) - COUNTIF(Vertices[Eigenvector Centrality], "&gt;=" &amp; N5)</f>
        <v>0</v>
      </c>
      <c r="P4" s="39">
        <f t="shared" si="7"/>
        <v>0</v>
      </c>
      <c r="Q4" s="40">
        <f>COUNTIF(Vertices[PageRank], "&gt;= " &amp; P4) - COUNTIF(Vertices[PageRank], "&gt;=" &amp; P5)</f>
        <v>0</v>
      </c>
      <c r="R4" s="39">
        <f t="shared" si="8"/>
        <v>0</v>
      </c>
      <c r="S4" s="45">
        <f>COUNTIF(Vertices[Clustering Coefficient], "&gt;= " &amp; R4) - COUNTIF(Vertices[Clustering Coefficient], "&gt;=" &amp; R5)</f>
        <v>0</v>
      </c>
      <c r="T4" s="39" t="e">
        <f t="shared" ca="1" si="9"/>
        <v>#REF!</v>
      </c>
      <c r="U4" s="40" t="e">
        <f t="shared" ca="1" si="0"/>
        <v>#REF!</v>
      </c>
      <c r="W4" s="12" t="s">
        <v>127</v>
      </c>
      <c r="X4" s="12" t="s">
        <v>129</v>
      </c>
    </row>
    <row r="5" spans="1:24">
      <c r="A5" s="98"/>
      <c r="B5" s="98"/>
      <c r="D5" s="34">
        <f t="shared" si="1"/>
        <v>1.2093023255813951</v>
      </c>
      <c r="E5" s="3">
        <f>COUNTIF(Vertices[Degree], "&gt;= " &amp; D5) - COUNTIF(Vertices[Degree], "&gt;=" &amp; D6)</f>
        <v>0</v>
      </c>
      <c r="F5" s="41">
        <f t="shared" si="2"/>
        <v>0</v>
      </c>
      <c r="G5" s="42">
        <f>COUNTIF(Vertices[In-Degree], "&gt;= " &amp; F5) - COUNTIF(Vertices[In-Degree], "&gt;=" &amp; F6)</f>
        <v>0</v>
      </c>
      <c r="H5" s="41">
        <f t="shared" si="3"/>
        <v>0</v>
      </c>
      <c r="I5" s="42">
        <f>COUNTIF(Vertices[Out-Degree], "&gt;= " &amp; H5) - COUNTIF(Vertices[Out-Degree], "&gt;=" &amp; H6)</f>
        <v>0</v>
      </c>
      <c r="J5" s="41">
        <f t="shared" si="4"/>
        <v>0</v>
      </c>
      <c r="K5" s="42">
        <f>COUNTIF(Vertices[Betweenness Centrality], "&gt;= " &amp; J5) - COUNTIF(Vertices[Betweenness Centrality], "&gt;=" &amp; J6)</f>
        <v>0</v>
      </c>
      <c r="L5" s="41">
        <f t="shared" si="5"/>
        <v>0</v>
      </c>
      <c r="M5" s="42">
        <f>COUNTIF(Vertices[Closeness Centrality], "&gt;= " &amp; L5) - COUNTIF(Vertices[Closeness Centrality], "&gt;=" &amp; L6)</f>
        <v>0</v>
      </c>
      <c r="N5" s="41">
        <f t="shared" si="6"/>
        <v>0</v>
      </c>
      <c r="O5" s="42">
        <f>COUNTIF(Vertices[Eigenvector Centrality], "&gt;= " &amp; N5) - COUNTIF(Vertices[Eigenvector Centrality], "&gt;=" &amp; N6)</f>
        <v>0</v>
      </c>
      <c r="P5" s="41">
        <f t="shared" si="7"/>
        <v>0</v>
      </c>
      <c r="Q5" s="42">
        <f>COUNTIF(Vertices[PageRank], "&gt;= " &amp; P5) - COUNTIF(Vertices[PageRank], "&gt;=" &amp; P6)</f>
        <v>0</v>
      </c>
      <c r="R5" s="41">
        <f t="shared" si="8"/>
        <v>0</v>
      </c>
      <c r="S5" s="46">
        <f>COUNTIF(Vertices[Clustering Coefficient], "&gt;= " &amp; R5) - COUNTIF(Vertices[Clustering Coefficient], "&gt;=" &amp; R6)</f>
        <v>0</v>
      </c>
      <c r="T5" s="41" t="e">
        <f t="shared" ca="1" si="9"/>
        <v>#REF!</v>
      </c>
      <c r="U5" s="42" t="e">
        <f t="shared" ca="1" si="0"/>
        <v>#REF!</v>
      </c>
    </row>
    <row r="6" spans="1:24">
      <c r="A6" s="36" t="s">
        <v>149</v>
      </c>
      <c r="B6" s="36">
        <v>10</v>
      </c>
      <c r="D6" s="34">
        <f t="shared" si="1"/>
        <v>1.2790697674418601</v>
      </c>
      <c r="E6" s="3">
        <f>COUNTIF(Vertices[Degree], "&gt;= " &amp; D6) - COUNTIF(Vertices[Degree], "&gt;=" &amp; D7)</f>
        <v>0</v>
      </c>
      <c r="F6" s="39">
        <f t="shared" si="2"/>
        <v>0</v>
      </c>
      <c r="G6" s="40">
        <f>COUNTIF(Vertices[In-Degree], "&gt;= " &amp; F6) - COUNTIF(Vertices[In-Degree], "&gt;=" &amp; F7)</f>
        <v>0</v>
      </c>
      <c r="H6" s="39">
        <f t="shared" si="3"/>
        <v>0</v>
      </c>
      <c r="I6" s="40">
        <f>COUNTIF(Vertices[Out-Degree], "&gt;= " &amp; H6) - COUNTIF(Vertices[Out-Degree], "&gt;=" &amp; H7)</f>
        <v>0</v>
      </c>
      <c r="J6" s="39">
        <f t="shared" si="4"/>
        <v>0</v>
      </c>
      <c r="K6" s="40">
        <f>COUNTIF(Vertices[Betweenness Centrality], "&gt;= " &amp; J6) - COUNTIF(Vertices[Betweenness Centrality], "&gt;=" &amp; J7)</f>
        <v>0</v>
      </c>
      <c r="L6" s="39">
        <f t="shared" si="5"/>
        <v>0</v>
      </c>
      <c r="M6" s="40">
        <f>COUNTIF(Vertices[Closeness Centrality], "&gt;= " &amp; L6) - COUNTIF(Vertices[Closeness Centrality], "&gt;=" &amp; L7)</f>
        <v>0</v>
      </c>
      <c r="N6" s="39">
        <f t="shared" si="6"/>
        <v>0</v>
      </c>
      <c r="O6" s="40">
        <f>COUNTIF(Vertices[Eigenvector Centrality], "&gt;= " &amp; N6) - COUNTIF(Vertices[Eigenvector Centrality], "&gt;=" &amp; N7)</f>
        <v>0</v>
      </c>
      <c r="P6" s="39">
        <f t="shared" si="7"/>
        <v>0</v>
      </c>
      <c r="Q6" s="40">
        <f>COUNTIF(Vertices[PageRank], "&gt;= " &amp; P6) - COUNTIF(Vertices[PageRank], "&gt;=" &amp; P7)</f>
        <v>0</v>
      </c>
      <c r="R6" s="39">
        <f t="shared" si="8"/>
        <v>0</v>
      </c>
      <c r="S6" s="45">
        <f>COUNTIF(Vertices[Clustering Coefficient], "&gt;= " &amp; R6) - COUNTIF(Vertices[Clustering Coefficient], "&gt;=" &amp; R7)</f>
        <v>0</v>
      </c>
      <c r="T6" s="39" t="e">
        <f t="shared" ca="1" si="9"/>
        <v>#REF!</v>
      </c>
      <c r="U6" s="40" t="e">
        <f t="shared" ca="1" si="0"/>
        <v>#REF!</v>
      </c>
    </row>
    <row r="7" spans="1:24">
      <c r="A7" s="36" t="s">
        <v>150</v>
      </c>
      <c r="B7" s="36">
        <v>2</v>
      </c>
      <c r="D7" s="34">
        <f t="shared" si="1"/>
        <v>1.3488372093023251</v>
      </c>
      <c r="E7" s="3">
        <f>COUNTIF(Vertices[Degree], "&gt;= " &amp; D7) - COUNTIF(Vertices[Degree], "&gt;=" &amp; D8)</f>
        <v>0</v>
      </c>
      <c r="F7" s="41">
        <f t="shared" si="2"/>
        <v>0</v>
      </c>
      <c r="G7" s="42">
        <f>COUNTIF(Vertices[In-Degree], "&gt;= " &amp; F7) - COUNTIF(Vertices[In-Degree], "&gt;=" &amp; F8)</f>
        <v>0</v>
      </c>
      <c r="H7" s="41">
        <f t="shared" si="3"/>
        <v>0</v>
      </c>
      <c r="I7" s="42">
        <f>COUNTIF(Vertices[Out-Degree], "&gt;= " &amp; H7) - COUNTIF(Vertices[Out-Degree], "&gt;=" &amp; H8)</f>
        <v>0</v>
      </c>
      <c r="J7" s="41">
        <f t="shared" si="4"/>
        <v>0</v>
      </c>
      <c r="K7" s="42">
        <f>COUNTIF(Vertices[Betweenness Centrality], "&gt;= " &amp; J7) - COUNTIF(Vertices[Betweenness Centrality], "&gt;=" &amp; J8)</f>
        <v>0</v>
      </c>
      <c r="L7" s="41">
        <f t="shared" si="5"/>
        <v>0</v>
      </c>
      <c r="M7" s="42">
        <f>COUNTIF(Vertices[Closeness Centrality], "&gt;= " &amp; L7) - COUNTIF(Vertices[Closeness Centrality], "&gt;=" &amp; L8)</f>
        <v>0</v>
      </c>
      <c r="N7" s="41">
        <f t="shared" si="6"/>
        <v>0</v>
      </c>
      <c r="O7" s="42">
        <f>COUNTIF(Vertices[Eigenvector Centrality], "&gt;= " &amp; N7) - COUNTIF(Vertices[Eigenvector Centrality], "&gt;=" &amp; N8)</f>
        <v>0</v>
      </c>
      <c r="P7" s="41">
        <f t="shared" si="7"/>
        <v>0</v>
      </c>
      <c r="Q7" s="42">
        <f>COUNTIF(Vertices[PageRank], "&gt;= " &amp; P7) - COUNTIF(Vertices[PageRank], "&gt;=" &amp; P8)</f>
        <v>0</v>
      </c>
      <c r="R7" s="41">
        <f t="shared" si="8"/>
        <v>0</v>
      </c>
      <c r="S7" s="46">
        <f>COUNTIF(Vertices[Clustering Coefficient], "&gt;= " &amp; R7) - COUNTIF(Vertices[Clustering Coefficient], "&gt;=" &amp; R8)</f>
        <v>0</v>
      </c>
      <c r="T7" s="41" t="e">
        <f t="shared" ca="1" si="9"/>
        <v>#REF!</v>
      </c>
      <c r="U7" s="42" t="e">
        <f t="shared" ca="1" si="0"/>
        <v>#REF!</v>
      </c>
    </row>
    <row r="8" spans="1:24">
      <c r="A8" s="36" t="s">
        <v>151</v>
      </c>
      <c r="B8" s="36">
        <v>12</v>
      </c>
      <c r="D8" s="34">
        <f t="shared" si="1"/>
        <v>1.4186046511627901</v>
      </c>
      <c r="E8" s="3">
        <f>COUNTIF(Vertices[Degree], "&gt;= " &amp; D8) - COUNTIF(Vertices[Degree], "&gt;=" &amp; D9)</f>
        <v>0</v>
      </c>
      <c r="F8" s="39">
        <f t="shared" si="2"/>
        <v>0</v>
      </c>
      <c r="G8" s="40">
        <f>COUNTIF(Vertices[In-Degree], "&gt;= " &amp; F8) - COUNTIF(Vertices[In-Degree], "&gt;=" &amp; F9)</f>
        <v>0</v>
      </c>
      <c r="H8" s="39">
        <f t="shared" si="3"/>
        <v>0</v>
      </c>
      <c r="I8" s="40">
        <f>COUNTIF(Vertices[Out-Degree], "&gt;= " &amp; H8) - COUNTIF(Vertices[Out-Degree], "&gt;=" &amp; H9)</f>
        <v>0</v>
      </c>
      <c r="J8" s="39">
        <f t="shared" si="4"/>
        <v>0</v>
      </c>
      <c r="K8" s="40">
        <f>COUNTIF(Vertices[Betweenness Centrality], "&gt;= " &amp; J8) - COUNTIF(Vertices[Betweenness Centrality], "&gt;=" &amp; J9)</f>
        <v>0</v>
      </c>
      <c r="L8" s="39">
        <f t="shared" si="5"/>
        <v>0</v>
      </c>
      <c r="M8" s="40">
        <f>COUNTIF(Vertices[Closeness Centrality], "&gt;= " &amp; L8) - COUNTIF(Vertices[Closeness Centrality], "&gt;=" &amp; L9)</f>
        <v>0</v>
      </c>
      <c r="N8" s="39">
        <f t="shared" si="6"/>
        <v>0</v>
      </c>
      <c r="O8" s="40">
        <f>COUNTIF(Vertices[Eigenvector Centrality], "&gt;= " &amp; N8) - COUNTIF(Vertices[Eigenvector Centrality], "&gt;=" &amp; N9)</f>
        <v>0</v>
      </c>
      <c r="P8" s="39">
        <f t="shared" si="7"/>
        <v>0</v>
      </c>
      <c r="Q8" s="40">
        <f>COUNTIF(Vertices[PageRank], "&gt;= " &amp; P8) - COUNTIF(Vertices[PageRank], "&gt;=" &amp; P9)</f>
        <v>0</v>
      </c>
      <c r="R8" s="39">
        <f t="shared" si="8"/>
        <v>0</v>
      </c>
      <c r="S8" s="45">
        <f>COUNTIF(Vertices[Clustering Coefficient], "&gt;= " &amp; R8) - COUNTIF(Vertices[Clustering Coefficient], "&gt;=" &amp; R9)</f>
        <v>0</v>
      </c>
      <c r="T8" s="39" t="e">
        <f t="shared" ca="1" si="9"/>
        <v>#REF!</v>
      </c>
      <c r="U8" s="40" t="e">
        <f t="shared" ca="1" si="0"/>
        <v>#REF!</v>
      </c>
    </row>
    <row r="9" spans="1:24">
      <c r="A9" s="98"/>
      <c r="B9" s="98"/>
      <c r="D9" s="34">
        <f t="shared" si="1"/>
        <v>1.4883720930232551</v>
      </c>
      <c r="E9" s="3">
        <f>COUNTIF(Vertices[Degree], "&gt;= " &amp; D9) - COUNTIF(Vertices[Degree], "&gt;=" &amp; D10)</f>
        <v>0</v>
      </c>
      <c r="F9" s="41">
        <f t="shared" si="2"/>
        <v>0</v>
      </c>
      <c r="G9" s="42">
        <f>COUNTIF(Vertices[In-Degree], "&gt;= " &amp; F9) - COUNTIF(Vertices[In-Degree], "&gt;=" &amp; F10)</f>
        <v>0</v>
      </c>
      <c r="H9" s="41">
        <f t="shared" si="3"/>
        <v>0</v>
      </c>
      <c r="I9" s="42">
        <f>COUNTIF(Vertices[Out-Degree], "&gt;= " &amp; H9) - COUNTIF(Vertices[Out-Degree], "&gt;=" &amp; H10)</f>
        <v>0</v>
      </c>
      <c r="J9" s="41">
        <f t="shared" si="4"/>
        <v>0</v>
      </c>
      <c r="K9" s="42">
        <f>COUNTIF(Vertices[Betweenness Centrality], "&gt;= " &amp; J9) - COUNTIF(Vertices[Betweenness Centrality], "&gt;=" &amp; J10)</f>
        <v>0</v>
      </c>
      <c r="L9" s="41">
        <f t="shared" si="5"/>
        <v>0</v>
      </c>
      <c r="M9" s="42">
        <f>COUNTIF(Vertices[Closeness Centrality], "&gt;= " &amp; L9) - COUNTIF(Vertices[Closeness Centrality], "&gt;=" &amp; L10)</f>
        <v>0</v>
      </c>
      <c r="N9" s="41">
        <f t="shared" si="6"/>
        <v>0</v>
      </c>
      <c r="O9" s="42">
        <f>COUNTIF(Vertices[Eigenvector Centrality], "&gt;= " &amp; N9) - COUNTIF(Vertices[Eigenvector Centrality], "&gt;=" &amp; N10)</f>
        <v>0</v>
      </c>
      <c r="P9" s="41">
        <f t="shared" si="7"/>
        <v>0</v>
      </c>
      <c r="Q9" s="42">
        <f>COUNTIF(Vertices[PageRank], "&gt;= " &amp; P9) - COUNTIF(Vertices[PageRank], "&gt;=" &amp; P10)</f>
        <v>0</v>
      </c>
      <c r="R9" s="41">
        <f t="shared" si="8"/>
        <v>0</v>
      </c>
      <c r="S9" s="46">
        <f>COUNTIF(Vertices[Clustering Coefficient], "&gt;= " &amp; R9) - COUNTIF(Vertices[Clustering Coefficient], "&gt;=" &amp; R10)</f>
        <v>0</v>
      </c>
      <c r="T9" s="41" t="e">
        <f t="shared" ca="1" si="9"/>
        <v>#REF!</v>
      </c>
      <c r="U9" s="42" t="e">
        <f t="shared" ca="1" si="0"/>
        <v>#REF!</v>
      </c>
    </row>
    <row r="10" spans="1:24">
      <c r="A10" s="36" t="s">
        <v>152</v>
      </c>
      <c r="B10" s="36">
        <v>0</v>
      </c>
      <c r="D10" s="34">
        <f t="shared" si="1"/>
        <v>1.5581395348837201</v>
      </c>
      <c r="E10" s="3">
        <f>COUNTIF(Vertices[Degree], "&gt;= " &amp; D10) - COUNTIF(Vertices[Degree], "&gt;=" &amp; D11)</f>
        <v>0</v>
      </c>
      <c r="F10" s="39">
        <f t="shared" si="2"/>
        <v>0</v>
      </c>
      <c r="G10" s="40">
        <f>COUNTIF(Vertices[In-Degree], "&gt;= " &amp; F10) - COUNTIF(Vertices[In-Degree], "&gt;=" &amp; F11)</f>
        <v>0</v>
      </c>
      <c r="H10" s="39">
        <f t="shared" si="3"/>
        <v>0</v>
      </c>
      <c r="I10" s="40">
        <f>COUNTIF(Vertices[Out-Degree], "&gt;= " &amp; H10) - COUNTIF(Vertices[Out-Degree], "&gt;=" &amp; H11)</f>
        <v>0</v>
      </c>
      <c r="J10" s="39">
        <f t="shared" si="4"/>
        <v>0</v>
      </c>
      <c r="K10" s="40">
        <f>COUNTIF(Vertices[Betweenness Centrality], "&gt;= " &amp; J10) - COUNTIF(Vertices[Betweenness Centrality], "&gt;=" &amp; J11)</f>
        <v>0</v>
      </c>
      <c r="L10" s="39">
        <f t="shared" si="5"/>
        <v>0</v>
      </c>
      <c r="M10" s="40">
        <f>COUNTIF(Vertices[Closeness Centrality], "&gt;= " &amp; L10) - COUNTIF(Vertices[Closeness Centrality], "&gt;=" &amp; L11)</f>
        <v>0</v>
      </c>
      <c r="N10" s="39">
        <f t="shared" si="6"/>
        <v>0</v>
      </c>
      <c r="O10" s="40">
        <f>COUNTIF(Vertices[Eigenvector Centrality], "&gt;= " &amp; N10) - COUNTIF(Vertices[Eigenvector Centrality], "&gt;=" &amp; N11)</f>
        <v>0</v>
      </c>
      <c r="P10" s="39">
        <f t="shared" si="7"/>
        <v>0</v>
      </c>
      <c r="Q10" s="40">
        <f>COUNTIF(Vertices[PageRank], "&gt;= " &amp; P10) - COUNTIF(Vertices[PageRank], "&gt;=" &amp; P11)</f>
        <v>0</v>
      </c>
      <c r="R10" s="39">
        <f t="shared" si="8"/>
        <v>0</v>
      </c>
      <c r="S10" s="45">
        <f>COUNTIF(Vertices[Clustering Coefficient], "&gt;= " &amp; R10) - COUNTIF(Vertices[Clustering Coefficient], "&gt;=" &amp; R11)</f>
        <v>0</v>
      </c>
      <c r="T10" s="39" t="e">
        <f t="shared" ca="1" si="9"/>
        <v>#REF!</v>
      </c>
      <c r="U10" s="40" t="e">
        <f t="shared" ca="1" si="0"/>
        <v>#REF!</v>
      </c>
    </row>
    <row r="11" spans="1:24">
      <c r="A11" s="98"/>
      <c r="B11" s="98"/>
      <c r="D11" s="34">
        <f t="shared" si="1"/>
        <v>1.6279069767441852</v>
      </c>
      <c r="E11" s="3">
        <f>COUNTIF(Vertices[Degree], "&gt;= " &amp; D11) - COUNTIF(Vertices[Degree], "&gt;=" &amp; D12)</f>
        <v>0</v>
      </c>
      <c r="F11" s="41">
        <f t="shared" si="2"/>
        <v>0</v>
      </c>
      <c r="G11" s="42">
        <f>COUNTIF(Vertices[In-Degree], "&gt;= " &amp; F11) - COUNTIF(Vertices[In-Degree], "&gt;=" &amp; F12)</f>
        <v>0</v>
      </c>
      <c r="H11" s="41">
        <f t="shared" si="3"/>
        <v>0</v>
      </c>
      <c r="I11" s="42">
        <f>COUNTIF(Vertices[Out-Degree], "&gt;= " &amp; H11) - COUNTIF(Vertices[Out-Degree], "&gt;=" &amp; H12)</f>
        <v>0</v>
      </c>
      <c r="J11" s="41">
        <f t="shared" si="4"/>
        <v>0</v>
      </c>
      <c r="K11" s="42">
        <f>COUNTIF(Vertices[Betweenness Centrality], "&gt;= " &amp; J11) - COUNTIF(Vertices[Betweenness Centrality], "&gt;=" &amp; J12)</f>
        <v>0</v>
      </c>
      <c r="L11" s="41">
        <f t="shared" si="5"/>
        <v>0</v>
      </c>
      <c r="M11" s="42">
        <f>COUNTIF(Vertices[Closeness Centrality], "&gt;= " &amp; L11) - COUNTIF(Vertices[Closeness Centrality], "&gt;=" &amp; L12)</f>
        <v>0</v>
      </c>
      <c r="N11" s="41">
        <f t="shared" si="6"/>
        <v>0</v>
      </c>
      <c r="O11" s="42">
        <f>COUNTIF(Vertices[Eigenvector Centrality], "&gt;= " &amp; N11) - COUNTIF(Vertices[Eigenvector Centrality], "&gt;=" &amp; N12)</f>
        <v>0</v>
      </c>
      <c r="P11" s="41">
        <f t="shared" si="7"/>
        <v>0</v>
      </c>
      <c r="Q11" s="42">
        <f>COUNTIF(Vertices[PageRank], "&gt;= " &amp; P11) - COUNTIF(Vertices[PageRank], "&gt;=" &amp; P12)</f>
        <v>0</v>
      </c>
      <c r="R11" s="41">
        <f t="shared" si="8"/>
        <v>0</v>
      </c>
      <c r="S11" s="46">
        <f>COUNTIF(Vertices[Clustering Coefficient], "&gt;= " &amp; R11) - COUNTIF(Vertices[Clustering Coefficient], "&gt;=" &amp; R12)</f>
        <v>0</v>
      </c>
      <c r="T11" s="41" t="e">
        <f t="shared" ca="1" si="9"/>
        <v>#REF!</v>
      </c>
      <c r="U11" s="42" t="e">
        <f t="shared" ca="1" si="0"/>
        <v>#REF!</v>
      </c>
    </row>
    <row r="12" spans="1:24">
      <c r="A12" s="36" t="s">
        <v>171</v>
      </c>
      <c r="B12" s="36" t="s">
        <v>189</v>
      </c>
      <c r="D12" s="34">
        <f t="shared" si="1"/>
        <v>1.6976744186046502</v>
      </c>
      <c r="E12" s="3">
        <f>COUNTIF(Vertices[Degree], "&gt;= " &amp; D12) - COUNTIF(Vertices[Degree], "&gt;=" &amp; D13)</f>
        <v>0</v>
      </c>
      <c r="F12" s="39">
        <f t="shared" si="2"/>
        <v>0</v>
      </c>
      <c r="G12" s="40">
        <f>COUNTIF(Vertices[In-Degree], "&gt;= " &amp; F12) - COUNTIF(Vertices[In-Degree], "&gt;=" &amp; F13)</f>
        <v>0</v>
      </c>
      <c r="H12" s="39">
        <f t="shared" si="3"/>
        <v>0</v>
      </c>
      <c r="I12" s="40">
        <f>COUNTIF(Vertices[Out-Degree], "&gt;= " &amp; H12) - COUNTIF(Vertices[Out-Degree], "&gt;=" &amp; H13)</f>
        <v>0</v>
      </c>
      <c r="J12" s="39">
        <f t="shared" si="4"/>
        <v>0</v>
      </c>
      <c r="K12" s="40">
        <f>COUNTIF(Vertices[Betweenness Centrality], "&gt;= " &amp; J12) - COUNTIF(Vertices[Betweenness Centrality], "&gt;=" &amp; J13)</f>
        <v>0</v>
      </c>
      <c r="L12" s="39">
        <f t="shared" si="5"/>
        <v>0</v>
      </c>
      <c r="M12" s="40">
        <f>COUNTIF(Vertices[Closeness Centrality], "&gt;= " &amp; L12) - COUNTIF(Vertices[Closeness Centrality], "&gt;=" &amp; L13)</f>
        <v>0</v>
      </c>
      <c r="N12" s="39">
        <f t="shared" si="6"/>
        <v>0</v>
      </c>
      <c r="O12" s="40">
        <f>COUNTIF(Vertices[Eigenvector Centrality], "&gt;= " &amp; N12) - COUNTIF(Vertices[Eigenvector Centrality], "&gt;=" &amp; N13)</f>
        <v>0</v>
      </c>
      <c r="P12" s="39">
        <f t="shared" si="7"/>
        <v>0</v>
      </c>
      <c r="Q12" s="40">
        <f>COUNTIF(Vertices[PageRank], "&gt;= " &amp; P12) - COUNTIF(Vertices[PageRank], "&gt;=" &amp; P13)</f>
        <v>0</v>
      </c>
      <c r="R12" s="39">
        <f t="shared" si="8"/>
        <v>0</v>
      </c>
      <c r="S12" s="45">
        <f>COUNTIF(Vertices[Clustering Coefficient], "&gt;= " &amp; R12) - COUNTIF(Vertices[Clustering Coefficient], "&gt;=" &amp; R13)</f>
        <v>0</v>
      </c>
      <c r="T12" s="39" t="e">
        <f t="shared" ca="1" si="9"/>
        <v>#REF!</v>
      </c>
      <c r="U12" s="40" t="e">
        <f t="shared" ca="1" si="0"/>
        <v>#REF!</v>
      </c>
    </row>
    <row r="13" spans="1:24">
      <c r="A13" s="36" t="s">
        <v>172</v>
      </c>
      <c r="B13" s="36" t="s">
        <v>189</v>
      </c>
      <c r="D13" s="34">
        <f t="shared" si="1"/>
        <v>1.7674418604651152</v>
      </c>
      <c r="E13" s="3">
        <f>COUNTIF(Vertices[Degree], "&gt;= " &amp; D13) - COUNTIF(Vertices[Degree], "&gt;=" &amp; D14)</f>
        <v>0</v>
      </c>
      <c r="F13" s="41">
        <f t="shared" si="2"/>
        <v>0</v>
      </c>
      <c r="G13" s="42">
        <f>COUNTIF(Vertices[In-Degree], "&gt;= " &amp; F13) - COUNTIF(Vertices[In-Degree], "&gt;=" &amp; F14)</f>
        <v>0</v>
      </c>
      <c r="H13" s="41">
        <f t="shared" si="3"/>
        <v>0</v>
      </c>
      <c r="I13" s="42">
        <f>COUNTIF(Vertices[Out-Degree], "&gt;= " &amp; H13) - COUNTIF(Vertices[Out-Degree], "&gt;=" &amp; H14)</f>
        <v>0</v>
      </c>
      <c r="J13" s="41">
        <f t="shared" si="4"/>
        <v>0</v>
      </c>
      <c r="K13" s="42">
        <f>COUNTIF(Vertices[Betweenness Centrality], "&gt;= " &amp; J13) - COUNTIF(Vertices[Betweenness Centrality], "&gt;=" &amp; J14)</f>
        <v>0</v>
      </c>
      <c r="L13" s="41">
        <f t="shared" si="5"/>
        <v>0</v>
      </c>
      <c r="M13" s="42">
        <f>COUNTIF(Vertices[Closeness Centrality], "&gt;= " &amp; L13) - COUNTIF(Vertices[Closeness Centrality], "&gt;=" &amp; L14)</f>
        <v>0</v>
      </c>
      <c r="N13" s="41">
        <f t="shared" si="6"/>
        <v>0</v>
      </c>
      <c r="O13" s="42">
        <f>COUNTIF(Vertices[Eigenvector Centrality], "&gt;= " &amp; N13) - COUNTIF(Vertices[Eigenvector Centrality], "&gt;=" &amp; N14)</f>
        <v>0</v>
      </c>
      <c r="P13" s="41">
        <f t="shared" si="7"/>
        <v>0</v>
      </c>
      <c r="Q13" s="42">
        <f>COUNTIF(Vertices[PageRank], "&gt;= " &amp; P13) - COUNTIF(Vertices[PageRank], "&gt;=" &amp; P14)</f>
        <v>0</v>
      </c>
      <c r="R13" s="41">
        <f t="shared" si="8"/>
        <v>0</v>
      </c>
      <c r="S13" s="46">
        <f>COUNTIF(Vertices[Clustering Coefficient], "&gt;= " &amp; R13) - COUNTIF(Vertices[Clustering Coefficient], "&gt;=" &amp; R14)</f>
        <v>0</v>
      </c>
      <c r="T13" s="41" t="e">
        <f t="shared" ca="1" si="9"/>
        <v>#REF!</v>
      </c>
      <c r="U13" s="42" t="e">
        <f t="shared" ca="1" si="0"/>
        <v>#REF!</v>
      </c>
    </row>
    <row r="14" spans="1:24">
      <c r="A14" s="98"/>
      <c r="B14" s="98"/>
      <c r="D14" s="34">
        <f t="shared" si="1"/>
        <v>1.8372093023255802</v>
      </c>
      <c r="E14" s="3">
        <f>COUNTIF(Vertices[Degree], "&gt;= " &amp; D14) - COUNTIF(Vertices[Degree], "&gt;=" &amp; D15)</f>
        <v>0</v>
      </c>
      <c r="F14" s="39">
        <f t="shared" si="2"/>
        <v>0</v>
      </c>
      <c r="G14" s="40">
        <f>COUNTIF(Vertices[In-Degree], "&gt;= " &amp; F14) - COUNTIF(Vertices[In-Degree], "&gt;=" &amp; F15)</f>
        <v>0</v>
      </c>
      <c r="H14" s="39">
        <f t="shared" si="3"/>
        <v>0</v>
      </c>
      <c r="I14" s="40">
        <f>COUNTIF(Vertices[Out-Degree], "&gt;= " &amp; H14) - COUNTIF(Vertices[Out-Degree], "&gt;=" &amp; H15)</f>
        <v>0</v>
      </c>
      <c r="J14" s="39">
        <f t="shared" si="4"/>
        <v>0</v>
      </c>
      <c r="K14" s="40">
        <f>COUNTIF(Vertices[Betweenness Centrality], "&gt;= " &amp; J14) - COUNTIF(Vertices[Betweenness Centrality], "&gt;=" &amp; J15)</f>
        <v>0</v>
      </c>
      <c r="L14" s="39">
        <f t="shared" si="5"/>
        <v>0</v>
      </c>
      <c r="M14" s="40">
        <f>COUNTIF(Vertices[Closeness Centrality], "&gt;= " &amp; L14) - COUNTIF(Vertices[Closeness Centrality], "&gt;=" &amp; L15)</f>
        <v>0</v>
      </c>
      <c r="N14" s="39">
        <f t="shared" si="6"/>
        <v>0</v>
      </c>
      <c r="O14" s="40">
        <f>COUNTIF(Vertices[Eigenvector Centrality], "&gt;= " &amp; N14) - COUNTIF(Vertices[Eigenvector Centrality], "&gt;=" &amp; N15)</f>
        <v>0</v>
      </c>
      <c r="P14" s="39">
        <f t="shared" si="7"/>
        <v>0</v>
      </c>
      <c r="Q14" s="40">
        <f>COUNTIF(Vertices[PageRank], "&gt;= " &amp; P14) - COUNTIF(Vertices[PageRank], "&gt;=" &amp; P15)</f>
        <v>0</v>
      </c>
      <c r="R14" s="39">
        <f t="shared" si="8"/>
        <v>0</v>
      </c>
      <c r="S14" s="45">
        <f>COUNTIF(Vertices[Clustering Coefficient], "&gt;= " &amp; R14) - COUNTIF(Vertices[Clustering Coefficient], "&gt;=" &amp; R15)</f>
        <v>0</v>
      </c>
      <c r="T14" s="39" t="e">
        <f t="shared" ca="1" si="9"/>
        <v>#REF!</v>
      </c>
      <c r="U14" s="40" t="e">
        <f t="shared" ca="1" si="0"/>
        <v>#REF!</v>
      </c>
    </row>
    <row r="15" spans="1:24">
      <c r="A15" s="36" t="s">
        <v>153</v>
      </c>
      <c r="B15" s="36">
        <v>2</v>
      </c>
      <c r="D15" s="34">
        <f t="shared" si="1"/>
        <v>1.9069767441860452</v>
      </c>
      <c r="E15" s="3">
        <f>COUNTIF(Vertices[Degree], "&gt;= " &amp; D15) - COUNTIF(Vertices[Degree], "&gt;=" &amp; D16)</f>
        <v>0</v>
      </c>
      <c r="F15" s="41">
        <f t="shared" si="2"/>
        <v>0</v>
      </c>
      <c r="G15" s="42">
        <f>COUNTIF(Vertices[In-Degree], "&gt;= " &amp; F15) - COUNTIF(Vertices[In-Degree], "&gt;=" &amp; F16)</f>
        <v>0</v>
      </c>
      <c r="H15" s="41">
        <f t="shared" si="3"/>
        <v>0</v>
      </c>
      <c r="I15" s="42">
        <f>COUNTIF(Vertices[Out-Degree], "&gt;= " &amp; H15) - COUNTIF(Vertices[Out-Degree], "&gt;=" &amp; H16)</f>
        <v>0</v>
      </c>
      <c r="J15" s="41">
        <f t="shared" si="4"/>
        <v>0</v>
      </c>
      <c r="K15" s="42">
        <f>COUNTIF(Vertices[Betweenness Centrality], "&gt;= " &amp; J15) - COUNTIF(Vertices[Betweenness Centrality], "&gt;=" &amp; J16)</f>
        <v>0</v>
      </c>
      <c r="L15" s="41">
        <f t="shared" si="5"/>
        <v>0</v>
      </c>
      <c r="M15" s="42">
        <f>COUNTIF(Vertices[Closeness Centrality], "&gt;= " &amp; L15) - COUNTIF(Vertices[Closeness Centrality], "&gt;=" &amp; L16)</f>
        <v>0</v>
      </c>
      <c r="N15" s="41">
        <f t="shared" si="6"/>
        <v>0</v>
      </c>
      <c r="O15" s="42">
        <f>COUNTIF(Vertices[Eigenvector Centrality], "&gt;= " &amp; N15) - COUNTIF(Vertices[Eigenvector Centrality], "&gt;=" &amp; N16)</f>
        <v>0</v>
      </c>
      <c r="P15" s="41">
        <f t="shared" si="7"/>
        <v>0</v>
      </c>
      <c r="Q15" s="42">
        <f>COUNTIF(Vertices[PageRank], "&gt;= " &amp; P15) - COUNTIF(Vertices[PageRank], "&gt;=" &amp; P16)</f>
        <v>0</v>
      </c>
      <c r="R15" s="41">
        <f t="shared" si="8"/>
        <v>0</v>
      </c>
      <c r="S15" s="46">
        <f>COUNTIF(Vertices[Clustering Coefficient], "&gt;= " &amp; R15) - COUNTIF(Vertices[Clustering Coefficient], "&gt;=" &amp; R16)</f>
        <v>0</v>
      </c>
      <c r="T15" s="41" t="e">
        <f t="shared" ca="1" si="9"/>
        <v>#REF!</v>
      </c>
      <c r="U15" s="42" t="e">
        <f t="shared" ca="1" si="0"/>
        <v>#REF!</v>
      </c>
    </row>
    <row r="16" spans="1:24">
      <c r="A16" s="36" t="s">
        <v>154</v>
      </c>
      <c r="B16" s="36">
        <v>0</v>
      </c>
      <c r="D16" s="34">
        <f t="shared" si="1"/>
        <v>1.9767441860465103</v>
      </c>
      <c r="E16" s="3">
        <f>COUNTIF(Vertices[Degree], "&gt;= " &amp; D16) - COUNTIF(Vertices[Degree], "&gt;=" &amp; D17)</f>
        <v>4</v>
      </c>
      <c r="F16" s="39">
        <f t="shared" si="2"/>
        <v>0</v>
      </c>
      <c r="G16" s="40">
        <f>COUNTIF(Vertices[In-Degree], "&gt;= " &amp; F16) - COUNTIF(Vertices[In-Degree], "&gt;=" &amp; F17)</f>
        <v>0</v>
      </c>
      <c r="H16" s="39">
        <f t="shared" si="3"/>
        <v>0</v>
      </c>
      <c r="I16" s="40">
        <f>COUNTIF(Vertices[Out-Degree], "&gt;= " &amp; H16) - COUNTIF(Vertices[Out-Degree], "&gt;=" &amp; H17)</f>
        <v>0</v>
      </c>
      <c r="J16" s="39">
        <f t="shared" si="4"/>
        <v>0</v>
      </c>
      <c r="K16" s="40">
        <f>COUNTIF(Vertices[Betweenness Centrality], "&gt;= " &amp; J16) - COUNTIF(Vertices[Betweenness Centrality], "&gt;=" &amp; J17)</f>
        <v>0</v>
      </c>
      <c r="L16" s="39">
        <f t="shared" si="5"/>
        <v>0</v>
      </c>
      <c r="M16" s="40">
        <f>COUNTIF(Vertices[Closeness Centrality], "&gt;= " &amp; L16) - COUNTIF(Vertices[Closeness Centrality], "&gt;=" &amp; L17)</f>
        <v>0</v>
      </c>
      <c r="N16" s="39">
        <f t="shared" si="6"/>
        <v>0</v>
      </c>
      <c r="O16" s="40">
        <f>COUNTIF(Vertices[Eigenvector Centrality], "&gt;= " &amp; N16) - COUNTIF(Vertices[Eigenvector Centrality], "&gt;=" &amp; N17)</f>
        <v>0</v>
      </c>
      <c r="P16" s="39">
        <f t="shared" si="7"/>
        <v>0</v>
      </c>
      <c r="Q16" s="40">
        <f>COUNTIF(Vertices[PageRank], "&gt;= " &amp; P16) - COUNTIF(Vertices[PageRank], "&gt;=" &amp; P17)</f>
        <v>0</v>
      </c>
      <c r="R16" s="39">
        <f t="shared" si="8"/>
        <v>0</v>
      </c>
      <c r="S16" s="45">
        <f>COUNTIF(Vertices[Clustering Coefficient], "&gt;= " &amp; R16) - COUNTIF(Vertices[Clustering Coefficient], "&gt;=" &amp; R17)</f>
        <v>0</v>
      </c>
      <c r="T16" s="39" t="e">
        <f t="shared" ca="1" si="9"/>
        <v>#REF!</v>
      </c>
      <c r="U16" s="40" t="e">
        <f t="shared" ca="1" si="0"/>
        <v>#REF!</v>
      </c>
    </row>
    <row r="17" spans="1:21">
      <c r="A17" s="36" t="s">
        <v>155</v>
      </c>
      <c r="B17" s="36">
        <v>6</v>
      </c>
      <c r="D17" s="34">
        <f t="shared" si="1"/>
        <v>2.0465116279069755</v>
      </c>
      <c r="E17" s="3">
        <f>COUNTIF(Vertices[Degree], "&gt;= " &amp; D17) - COUNTIF(Vertices[Degree], "&gt;=" &amp; D18)</f>
        <v>0</v>
      </c>
      <c r="F17" s="41">
        <f t="shared" si="2"/>
        <v>0</v>
      </c>
      <c r="G17" s="42">
        <f>COUNTIF(Vertices[In-Degree], "&gt;= " &amp; F17) - COUNTIF(Vertices[In-Degree], "&gt;=" &amp; F18)</f>
        <v>0</v>
      </c>
      <c r="H17" s="41">
        <f t="shared" si="3"/>
        <v>0</v>
      </c>
      <c r="I17" s="42">
        <f>COUNTIF(Vertices[Out-Degree], "&gt;= " &amp; H17) - COUNTIF(Vertices[Out-Degree], "&gt;=" &amp; H18)</f>
        <v>0</v>
      </c>
      <c r="J17" s="41">
        <f t="shared" si="4"/>
        <v>0</v>
      </c>
      <c r="K17" s="42">
        <f>COUNTIF(Vertices[Betweenness Centrality], "&gt;= " &amp; J17) - COUNTIF(Vertices[Betweenness Centrality], "&gt;=" &amp; J18)</f>
        <v>0</v>
      </c>
      <c r="L17" s="41">
        <f t="shared" si="5"/>
        <v>0</v>
      </c>
      <c r="M17" s="42">
        <f>COUNTIF(Vertices[Closeness Centrality], "&gt;= " &amp; L17) - COUNTIF(Vertices[Closeness Centrality], "&gt;=" &amp; L18)</f>
        <v>0</v>
      </c>
      <c r="N17" s="41">
        <f t="shared" si="6"/>
        <v>0</v>
      </c>
      <c r="O17" s="42">
        <f>COUNTIF(Vertices[Eigenvector Centrality], "&gt;= " &amp; N17) - COUNTIF(Vertices[Eigenvector Centrality], "&gt;=" &amp; N18)</f>
        <v>0</v>
      </c>
      <c r="P17" s="41">
        <f t="shared" si="7"/>
        <v>0</v>
      </c>
      <c r="Q17" s="42">
        <f>COUNTIF(Vertices[PageRank], "&gt;= " &amp; P17) - COUNTIF(Vertices[PageRank], "&gt;=" &amp; P18)</f>
        <v>0</v>
      </c>
      <c r="R17" s="41">
        <f t="shared" si="8"/>
        <v>0</v>
      </c>
      <c r="S17" s="46">
        <f>COUNTIF(Vertices[Clustering Coefficient], "&gt;= " &amp; R17) - COUNTIF(Vertices[Clustering Coefficient], "&gt;=" &amp; R18)</f>
        <v>0</v>
      </c>
      <c r="T17" s="41" t="e">
        <f t="shared" ca="1" si="9"/>
        <v>#REF!</v>
      </c>
      <c r="U17" s="42" t="e">
        <f t="shared" ca="1" si="0"/>
        <v>#REF!</v>
      </c>
    </row>
    <row r="18" spans="1:21">
      <c r="A18" s="36" t="s">
        <v>156</v>
      </c>
      <c r="B18" s="36">
        <v>9</v>
      </c>
      <c r="D18" s="34">
        <f t="shared" si="1"/>
        <v>2.1162790697674407</v>
      </c>
      <c r="E18" s="3">
        <f>COUNTIF(Vertices[Degree], "&gt;= " &amp; D18) - COUNTIF(Vertices[Degree], "&gt;=" &amp; D19)</f>
        <v>0</v>
      </c>
      <c r="F18" s="39">
        <f t="shared" si="2"/>
        <v>0</v>
      </c>
      <c r="G18" s="40">
        <f>COUNTIF(Vertices[In-Degree], "&gt;= " &amp; F18) - COUNTIF(Vertices[In-Degree], "&gt;=" &amp; F19)</f>
        <v>0</v>
      </c>
      <c r="H18" s="39">
        <f t="shared" si="3"/>
        <v>0</v>
      </c>
      <c r="I18" s="40">
        <f>COUNTIF(Vertices[Out-Degree], "&gt;= " &amp; H18) - COUNTIF(Vertices[Out-Degree], "&gt;=" &amp; H19)</f>
        <v>0</v>
      </c>
      <c r="J18" s="39">
        <f t="shared" si="4"/>
        <v>0</v>
      </c>
      <c r="K18" s="40">
        <f>COUNTIF(Vertices[Betweenness Centrality], "&gt;= " &amp; J18) - COUNTIF(Vertices[Betweenness Centrality], "&gt;=" &amp; J19)</f>
        <v>0</v>
      </c>
      <c r="L18" s="39">
        <f t="shared" si="5"/>
        <v>0</v>
      </c>
      <c r="M18" s="40">
        <f>COUNTIF(Vertices[Closeness Centrality], "&gt;= " &amp; L18) - COUNTIF(Vertices[Closeness Centrality], "&gt;=" &amp; L19)</f>
        <v>0</v>
      </c>
      <c r="N18" s="39">
        <f t="shared" si="6"/>
        <v>0</v>
      </c>
      <c r="O18" s="40">
        <f>COUNTIF(Vertices[Eigenvector Centrality], "&gt;= " &amp; N18) - COUNTIF(Vertices[Eigenvector Centrality], "&gt;=" &amp; N19)</f>
        <v>0</v>
      </c>
      <c r="P18" s="39">
        <f t="shared" si="7"/>
        <v>0</v>
      </c>
      <c r="Q18" s="40">
        <f>COUNTIF(Vertices[PageRank], "&gt;= " &amp; P18) - COUNTIF(Vertices[PageRank], "&gt;=" &amp; P19)</f>
        <v>0</v>
      </c>
      <c r="R18" s="39">
        <f t="shared" si="8"/>
        <v>0</v>
      </c>
      <c r="S18" s="45">
        <f>COUNTIF(Vertices[Clustering Coefficient], "&gt;= " &amp; R18) - COUNTIF(Vertices[Clustering Coefficient], "&gt;=" &amp; R19)</f>
        <v>0</v>
      </c>
      <c r="T18" s="39" t="e">
        <f t="shared" ca="1" si="9"/>
        <v>#REF!</v>
      </c>
      <c r="U18" s="40" t="e">
        <f t="shared" ca="1" si="0"/>
        <v>#REF!</v>
      </c>
    </row>
    <row r="19" spans="1:21">
      <c r="A19" s="98"/>
      <c r="B19" s="98"/>
      <c r="D19" s="34">
        <f t="shared" si="1"/>
        <v>2.186046511627906</v>
      </c>
      <c r="E19" s="3">
        <f>COUNTIF(Vertices[Degree], "&gt;= " &amp; D19) - COUNTIF(Vertices[Degree], "&gt;=" &amp; D20)</f>
        <v>0</v>
      </c>
      <c r="F19" s="41">
        <f t="shared" si="2"/>
        <v>0</v>
      </c>
      <c r="G19" s="42">
        <f>COUNTIF(Vertices[In-Degree], "&gt;= " &amp; F19) - COUNTIF(Vertices[In-Degree], "&gt;=" &amp; F20)</f>
        <v>0</v>
      </c>
      <c r="H19" s="41">
        <f t="shared" si="3"/>
        <v>0</v>
      </c>
      <c r="I19" s="42">
        <f>COUNTIF(Vertices[Out-Degree], "&gt;= " &amp; H19) - COUNTIF(Vertices[Out-Degree], "&gt;=" &amp; H20)</f>
        <v>0</v>
      </c>
      <c r="J19" s="41">
        <f t="shared" si="4"/>
        <v>0</v>
      </c>
      <c r="K19" s="42">
        <f>COUNTIF(Vertices[Betweenness Centrality], "&gt;= " &amp; J19) - COUNTIF(Vertices[Betweenness Centrality], "&gt;=" &amp; J20)</f>
        <v>0</v>
      </c>
      <c r="L19" s="41">
        <f t="shared" si="5"/>
        <v>0</v>
      </c>
      <c r="M19" s="42">
        <f>COUNTIF(Vertices[Closeness Centrality], "&gt;= " &amp; L19) - COUNTIF(Vertices[Closeness Centrality], "&gt;=" &amp; L20)</f>
        <v>0</v>
      </c>
      <c r="N19" s="41">
        <f t="shared" si="6"/>
        <v>0</v>
      </c>
      <c r="O19" s="42">
        <f>COUNTIF(Vertices[Eigenvector Centrality], "&gt;= " &amp; N19) - COUNTIF(Vertices[Eigenvector Centrality], "&gt;=" &amp; N20)</f>
        <v>0</v>
      </c>
      <c r="P19" s="41">
        <f t="shared" si="7"/>
        <v>0</v>
      </c>
      <c r="Q19" s="42">
        <f>COUNTIF(Vertices[PageRank], "&gt;= " &amp; P19) - COUNTIF(Vertices[PageRank], "&gt;=" &amp; P20)</f>
        <v>0</v>
      </c>
      <c r="R19" s="41">
        <f t="shared" si="8"/>
        <v>0</v>
      </c>
      <c r="S19" s="46">
        <f>COUNTIF(Vertices[Clustering Coefficient], "&gt;= " &amp; R19) - COUNTIF(Vertices[Clustering Coefficient], "&gt;=" &amp; R20)</f>
        <v>0</v>
      </c>
      <c r="T19" s="41" t="e">
        <f t="shared" ca="1" si="9"/>
        <v>#REF!</v>
      </c>
      <c r="U19" s="42" t="e">
        <f t="shared" ca="1" si="0"/>
        <v>#REF!</v>
      </c>
    </row>
    <row r="20" spans="1:21">
      <c r="A20" s="36" t="s">
        <v>157</v>
      </c>
      <c r="B20" s="36">
        <v>3</v>
      </c>
      <c r="D20" s="34">
        <f t="shared" si="1"/>
        <v>2.2558139534883712</v>
      </c>
      <c r="E20" s="3">
        <f>COUNTIF(Vertices[Degree], "&gt;= " &amp; D20) - COUNTIF(Vertices[Degree], "&gt;=" &amp; D21)</f>
        <v>0</v>
      </c>
      <c r="F20" s="39">
        <f t="shared" si="2"/>
        <v>0</v>
      </c>
      <c r="G20" s="40">
        <f>COUNTIF(Vertices[In-Degree], "&gt;= " &amp; F20) - COUNTIF(Vertices[In-Degree], "&gt;=" &amp; F21)</f>
        <v>0</v>
      </c>
      <c r="H20" s="39">
        <f t="shared" si="3"/>
        <v>0</v>
      </c>
      <c r="I20" s="40">
        <f>COUNTIF(Vertices[Out-Degree], "&gt;= " &amp; H20) - COUNTIF(Vertices[Out-Degree], "&gt;=" &amp; H21)</f>
        <v>0</v>
      </c>
      <c r="J20" s="39">
        <f t="shared" si="4"/>
        <v>0</v>
      </c>
      <c r="K20" s="40">
        <f>COUNTIF(Vertices[Betweenness Centrality], "&gt;= " &amp; J20) - COUNTIF(Vertices[Betweenness Centrality], "&gt;=" &amp; J21)</f>
        <v>0</v>
      </c>
      <c r="L20" s="39">
        <f t="shared" si="5"/>
        <v>0</v>
      </c>
      <c r="M20" s="40">
        <f>COUNTIF(Vertices[Closeness Centrality], "&gt;= " &amp; L20) - COUNTIF(Vertices[Closeness Centrality], "&gt;=" &amp; L21)</f>
        <v>0</v>
      </c>
      <c r="N20" s="39">
        <f t="shared" si="6"/>
        <v>0</v>
      </c>
      <c r="O20" s="40">
        <f>COUNTIF(Vertices[Eigenvector Centrality], "&gt;= " &amp; N20) - COUNTIF(Vertices[Eigenvector Centrality], "&gt;=" &amp; N21)</f>
        <v>0</v>
      </c>
      <c r="P20" s="39">
        <f t="shared" si="7"/>
        <v>0</v>
      </c>
      <c r="Q20" s="40">
        <f>COUNTIF(Vertices[PageRank], "&gt;= " &amp; P20) - COUNTIF(Vertices[PageRank], "&gt;=" &amp; P21)</f>
        <v>0</v>
      </c>
      <c r="R20" s="39">
        <f t="shared" si="8"/>
        <v>0</v>
      </c>
      <c r="S20" s="45">
        <f>COUNTIF(Vertices[Clustering Coefficient], "&gt;= " &amp; R20) - COUNTIF(Vertices[Clustering Coefficient], "&gt;=" &amp; R21)</f>
        <v>0</v>
      </c>
      <c r="T20" s="39" t="e">
        <f t="shared" ca="1" si="9"/>
        <v>#REF!</v>
      </c>
      <c r="U20" s="40" t="e">
        <f t="shared" ca="1" si="0"/>
        <v>#REF!</v>
      </c>
    </row>
    <row r="21" spans="1:21">
      <c r="A21" s="36" t="s">
        <v>158</v>
      </c>
      <c r="B21" s="36">
        <v>1.2444440000000001</v>
      </c>
      <c r="D21" s="34">
        <f t="shared" si="1"/>
        <v>2.3255813953488365</v>
      </c>
      <c r="E21" s="3">
        <f>COUNTIF(Vertices[Degree], "&gt;= " &amp; D21) - COUNTIF(Vertices[Degree], "&gt;=" &amp; D22)</f>
        <v>0</v>
      </c>
      <c r="F21" s="41">
        <f t="shared" si="2"/>
        <v>0</v>
      </c>
      <c r="G21" s="42">
        <f>COUNTIF(Vertices[In-Degree], "&gt;= " &amp; F21) - COUNTIF(Vertices[In-Degree], "&gt;=" &amp; F22)</f>
        <v>0</v>
      </c>
      <c r="H21" s="41">
        <f t="shared" si="3"/>
        <v>0</v>
      </c>
      <c r="I21" s="42">
        <f>COUNTIF(Vertices[Out-Degree], "&gt;= " &amp; H21) - COUNTIF(Vertices[Out-Degree], "&gt;=" &amp; H22)</f>
        <v>0</v>
      </c>
      <c r="J21" s="41">
        <f t="shared" si="4"/>
        <v>0</v>
      </c>
      <c r="K21" s="42">
        <f>COUNTIF(Vertices[Betweenness Centrality], "&gt;= " &amp; J21) - COUNTIF(Vertices[Betweenness Centrality], "&gt;=" &amp; J22)</f>
        <v>0</v>
      </c>
      <c r="L21" s="41">
        <f t="shared" si="5"/>
        <v>0</v>
      </c>
      <c r="M21" s="42">
        <f>COUNTIF(Vertices[Closeness Centrality], "&gt;= " &amp; L21) - COUNTIF(Vertices[Closeness Centrality], "&gt;=" &amp; L22)</f>
        <v>0</v>
      </c>
      <c r="N21" s="41">
        <f t="shared" si="6"/>
        <v>0</v>
      </c>
      <c r="O21" s="42">
        <f>COUNTIF(Vertices[Eigenvector Centrality], "&gt;= " &amp; N21) - COUNTIF(Vertices[Eigenvector Centrality], "&gt;=" &amp; N22)</f>
        <v>0</v>
      </c>
      <c r="P21" s="41">
        <f t="shared" si="7"/>
        <v>0</v>
      </c>
      <c r="Q21" s="42">
        <f>COUNTIF(Vertices[PageRank], "&gt;= " &amp; P21) - COUNTIF(Vertices[PageRank], "&gt;=" &amp; P22)</f>
        <v>0</v>
      </c>
      <c r="R21" s="41">
        <f t="shared" si="8"/>
        <v>0</v>
      </c>
      <c r="S21" s="46">
        <f>COUNTIF(Vertices[Clustering Coefficient], "&gt;= " &amp; R21) - COUNTIF(Vertices[Clustering Coefficient], "&gt;=" &amp; R22)</f>
        <v>0</v>
      </c>
      <c r="T21" s="41" t="e">
        <f t="shared" ca="1" si="9"/>
        <v>#REF!</v>
      </c>
      <c r="U21" s="42" t="e">
        <f t="shared" ca="1" si="0"/>
        <v>#REF!</v>
      </c>
    </row>
    <row r="22" spans="1:21">
      <c r="A22" s="98"/>
      <c r="B22" s="98"/>
      <c r="D22" s="34">
        <f t="shared" si="1"/>
        <v>2.3953488372093017</v>
      </c>
      <c r="E22" s="3">
        <f>COUNTIF(Vertices[Degree], "&gt;= " &amp; D22) - COUNTIF(Vertices[Degree], "&gt;=" &amp; D23)</f>
        <v>0</v>
      </c>
      <c r="F22" s="39">
        <f t="shared" si="2"/>
        <v>0</v>
      </c>
      <c r="G22" s="40">
        <f>COUNTIF(Vertices[In-Degree], "&gt;= " &amp; F22) - COUNTIF(Vertices[In-Degree], "&gt;=" &amp; F23)</f>
        <v>0</v>
      </c>
      <c r="H22" s="39">
        <f t="shared" si="3"/>
        <v>0</v>
      </c>
      <c r="I22" s="40">
        <f>COUNTIF(Vertices[Out-Degree], "&gt;= " &amp; H22) - COUNTIF(Vertices[Out-Degree], "&gt;=" &amp; H23)</f>
        <v>0</v>
      </c>
      <c r="J22" s="39">
        <f t="shared" si="4"/>
        <v>0</v>
      </c>
      <c r="K22" s="40">
        <f>COUNTIF(Vertices[Betweenness Centrality], "&gt;= " &amp; J22) - COUNTIF(Vertices[Betweenness Centrality], "&gt;=" &amp; J23)</f>
        <v>0</v>
      </c>
      <c r="L22" s="39">
        <f t="shared" si="5"/>
        <v>0</v>
      </c>
      <c r="M22" s="40">
        <f>COUNTIF(Vertices[Closeness Centrality], "&gt;= " &amp; L22) - COUNTIF(Vertices[Closeness Centrality], "&gt;=" &amp; L23)</f>
        <v>0</v>
      </c>
      <c r="N22" s="39">
        <f t="shared" si="6"/>
        <v>0</v>
      </c>
      <c r="O22" s="40">
        <f>COUNTIF(Vertices[Eigenvector Centrality], "&gt;= " &amp; N22) - COUNTIF(Vertices[Eigenvector Centrality], "&gt;=" &amp; N23)</f>
        <v>0</v>
      </c>
      <c r="P22" s="39">
        <f t="shared" si="7"/>
        <v>0</v>
      </c>
      <c r="Q22" s="40">
        <f>COUNTIF(Vertices[PageRank], "&gt;= " &amp; P22) - COUNTIF(Vertices[PageRank], "&gt;=" &amp; P23)</f>
        <v>0</v>
      </c>
      <c r="R22" s="39">
        <f t="shared" si="8"/>
        <v>0</v>
      </c>
      <c r="S22" s="45">
        <f>COUNTIF(Vertices[Clustering Coefficient], "&gt;= " &amp; R22) - COUNTIF(Vertices[Clustering Coefficient], "&gt;=" &amp; R23)</f>
        <v>0</v>
      </c>
      <c r="T22" s="39" t="e">
        <f t="shared" ca="1" si="9"/>
        <v>#REF!</v>
      </c>
      <c r="U22" s="40" t="e">
        <f t="shared" ca="1" si="0"/>
        <v>#REF!</v>
      </c>
    </row>
    <row r="23" spans="1:21">
      <c r="A23" s="36" t="s">
        <v>159</v>
      </c>
      <c r="B23" s="36">
        <v>0.30555555555555558</v>
      </c>
      <c r="D23" s="34">
        <f t="shared" si="1"/>
        <v>2.4651162790697669</v>
      </c>
      <c r="E23" s="3">
        <f>COUNTIF(Vertices[Degree], "&gt;= " &amp; D23) - COUNTIF(Vertices[Degree], "&gt;=" &amp; D24)</f>
        <v>0</v>
      </c>
      <c r="F23" s="41">
        <f t="shared" si="2"/>
        <v>0</v>
      </c>
      <c r="G23" s="42">
        <f>COUNTIF(Vertices[In-Degree], "&gt;= " &amp; F23) - COUNTIF(Vertices[In-Degree], "&gt;=" &amp; F24)</f>
        <v>0</v>
      </c>
      <c r="H23" s="41">
        <f t="shared" si="3"/>
        <v>0</v>
      </c>
      <c r="I23" s="42">
        <f>COUNTIF(Vertices[Out-Degree], "&gt;= " &amp; H23) - COUNTIF(Vertices[Out-Degree], "&gt;=" &amp; H24)</f>
        <v>0</v>
      </c>
      <c r="J23" s="41">
        <f t="shared" si="4"/>
        <v>0</v>
      </c>
      <c r="K23" s="42">
        <f>COUNTIF(Vertices[Betweenness Centrality], "&gt;= " &amp; J23) - COUNTIF(Vertices[Betweenness Centrality], "&gt;=" &amp; J24)</f>
        <v>0</v>
      </c>
      <c r="L23" s="41">
        <f t="shared" si="5"/>
        <v>0</v>
      </c>
      <c r="M23" s="42">
        <f>COUNTIF(Vertices[Closeness Centrality], "&gt;= " &amp; L23) - COUNTIF(Vertices[Closeness Centrality], "&gt;=" &amp; L24)</f>
        <v>0</v>
      </c>
      <c r="N23" s="41">
        <f t="shared" si="6"/>
        <v>0</v>
      </c>
      <c r="O23" s="42">
        <f>COUNTIF(Vertices[Eigenvector Centrality], "&gt;= " &amp; N23) - COUNTIF(Vertices[Eigenvector Centrality], "&gt;=" &amp; N24)</f>
        <v>0</v>
      </c>
      <c r="P23" s="41">
        <f t="shared" si="7"/>
        <v>0</v>
      </c>
      <c r="Q23" s="42">
        <f>COUNTIF(Vertices[PageRank], "&gt;= " &amp; P23) - COUNTIF(Vertices[PageRank], "&gt;=" &amp; P24)</f>
        <v>0</v>
      </c>
      <c r="R23" s="41">
        <f t="shared" si="8"/>
        <v>0</v>
      </c>
      <c r="S23" s="46">
        <f>COUNTIF(Vertices[Clustering Coefficient], "&gt;= " &amp; R23) - COUNTIF(Vertices[Clustering Coefficient], "&gt;=" &amp; R24)</f>
        <v>0</v>
      </c>
      <c r="T23" s="41" t="e">
        <f t="shared" ca="1" si="9"/>
        <v>#REF!</v>
      </c>
      <c r="U23" s="42" t="e">
        <f t="shared" ca="1" si="0"/>
        <v>#REF!</v>
      </c>
    </row>
    <row r="24" spans="1:21">
      <c r="A24" s="36" t="s">
        <v>187</v>
      </c>
      <c r="B24" s="36" t="s">
        <v>189</v>
      </c>
      <c r="D24" s="34">
        <f t="shared" si="1"/>
        <v>2.5348837209302322</v>
      </c>
      <c r="E24" s="3">
        <f>COUNTIF(Vertices[Degree], "&gt;= " &amp; D24) - COUNTIF(Vertices[Degree], "&gt;=" &amp; D25)</f>
        <v>0</v>
      </c>
      <c r="F24" s="39">
        <f t="shared" si="2"/>
        <v>0</v>
      </c>
      <c r="G24" s="40">
        <f>COUNTIF(Vertices[In-Degree], "&gt;= " &amp; F24) - COUNTIF(Vertices[In-Degree], "&gt;=" &amp; F25)</f>
        <v>0</v>
      </c>
      <c r="H24" s="39">
        <f t="shared" si="3"/>
        <v>0</v>
      </c>
      <c r="I24" s="40">
        <f>COUNTIF(Vertices[Out-Degree], "&gt;= " &amp; H24) - COUNTIF(Vertices[Out-Degree], "&gt;=" &amp; H25)</f>
        <v>0</v>
      </c>
      <c r="J24" s="39">
        <f t="shared" si="4"/>
        <v>0</v>
      </c>
      <c r="K24" s="40">
        <f>COUNTIF(Vertices[Betweenness Centrality], "&gt;= " &amp; J24) - COUNTIF(Vertices[Betweenness Centrality], "&gt;=" &amp; J25)</f>
        <v>0</v>
      </c>
      <c r="L24" s="39">
        <f t="shared" si="5"/>
        <v>0</v>
      </c>
      <c r="M24" s="40">
        <f>COUNTIF(Vertices[Closeness Centrality], "&gt;= " &amp; L24) - COUNTIF(Vertices[Closeness Centrality], "&gt;=" &amp; L25)</f>
        <v>0</v>
      </c>
      <c r="N24" s="39">
        <f t="shared" si="6"/>
        <v>0</v>
      </c>
      <c r="O24" s="40">
        <f>COUNTIF(Vertices[Eigenvector Centrality], "&gt;= " &amp; N24) - COUNTIF(Vertices[Eigenvector Centrality], "&gt;=" &amp; N25)</f>
        <v>0</v>
      </c>
      <c r="P24" s="39">
        <f t="shared" si="7"/>
        <v>0</v>
      </c>
      <c r="Q24" s="40">
        <f>COUNTIF(Vertices[PageRank], "&gt;= " &amp; P24) - COUNTIF(Vertices[PageRank], "&gt;=" &amp; P25)</f>
        <v>0</v>
      </c>
      <c r="R24" s="39">
        <f t="shared" si="8"/>
        <v>0</v>
      </c>
      <c r="S24" s="45">
        <f>COUNTIF(Vertices[Clustering Coefficient], "&gt;= " &amp; R24) - COUNTIF(Vertices[Clustering Coefficient], "&gt;=" &amp; R25)</f>
        <v>0</v>
      </c>
      <c r="T24" s="39" t="e">
        <f t="shared" ca="1" si="9"/>
        <v>#REF!</v>
      </c>
      <c r="U24" s="40" t="e">
        <f t="shared" ca="1" si="0"/>
        <v>#REF!</v>
      </c>
    </row>
    <row r="25" spans="1:21">
      <c r="A25" s="98"/>
      <c r="B25" s="98"/>
      <c r="D25" s="34">
        <f t="shared" si="1"/>
        <v>2.6046511627906974</v>
      </c>
      <c r="E25" s="3">
        <f>COUNTIF(Vertices[Degree], "&gt;= " &amp; D25) - COUNTIF(Vertices[Degree], "&gt;=" &amp; D26)</f>
        <v>0</v>
      </c>
      <c r="F25" s="41">
        <f t="shared" si="2"/>
        <v>0</v>
      </c>
      <c r="G25" s="42">
        <f>COUNTIF(Vertices[In-Degree], "&gt;= " &amp; F25) - COUNTIF(Vertices[In-Degree], "&gt;=" &amp; F26)</f>
        <v>0</v>
      </c>
      <c r="H25" s="41">
        <f t="shared" si="3"/>
        <v>0</v>
      </c>
      <c r="I25" s="42">
        <f>COUNTIF(Vertices[Out-Degree], "&gt;= " &amp; H25) - COUNTIF(Vertices[Out-Degree], "&gt;=" &amp; H26)</f>
        <v>0</v>
      </c>
      <c r="J25" s="41">
        <f t="shared" si="4"/>
        <v>0</v>
      </c>
      <c r="K25" s="42">
        <f>COUNTIF(Vertices[Betweenness Centrality], "&gt;= " &amp; J25) - COUNTIF(Vertices[Betweenness Centrality], "&gt;=" &amp; J26)</f>
        <v>0</v>
      </c>
      <c r="L25" s="41">
        <f t="shared" si="5"/>
        <v>0</v>
      </c>
      <c r="M25" s="42">
        <f>COUNTIF(Vertices[Closeness Centrality], "&gt;= " &amp; L25) - COUNTIF(Vertices[Closeness Centrality], "&gt;=" &amp; L26)</f>
        <v>0</v>
      </c>
      <c r="N25" s="41">
        <f t="shared" si="6"/>
        <v>0</v>
      </c>
      <c r="O25" s="42">
        <f>COUNTIF(Vertices[Eigenvector Centrality], "&gt;= " &amp; N25) - COUNTIF(Vertices[Eigenvector Centrality], "&gt;=" &amp; N26)</f>
        <v>0</v>
      </c>
      <c r="P25" s="41">
        <f t="shared" si="7"/>
        <v>0</v>
      </c>
      <c r="Q25" s="42">
        <f>COUNTIF(Vertices[PageRank], "&gt;= " &amp; P25) - COUNTIF(Vertices[PageRank], "&gt;=" &amp; P26)</f>
        <v>0</v>
      </c>
      <c r="R25" s="41">
        <f t="shared" si="8"/>
        <v>0</v>
      </c>
      <c r="S25" s="46">
        <f>COUNTIF(Vertices[Clustering Coefficient], "&gt;= " &amp; R25) - COUNTIF(Vertices[Clustering Coefficient], "&gt;=" &amp; R26)</f>
        <v>0</v>
      </c>
      <c r="T25" s="41" t="e">
        <f t="shared" ca="1" si="9"/>
        <v>#REF!</v>
      </c>
      <c r="U25" s="42" t="e">
        <f t="shared" ca="1" si="0"/>
        <v>#REF!</v>
      </c>
    </row>
    <row r="26" spans="1:21">
      <c r="A26" s="36" t="s">
        <v>188</v>
      </c>
      <c r="B26" s="36" t="s">
        <v>190</v>
      </c>
      <c r="D26" s="34">
        <f t="shared" si="1"/>
        <v>2.6744186046511627</v>
      </c>
      <c r="E26" s="3">
        <f>COUNTIF(Vertices[Degree], "&gt;= " &amp; D26) - COUNTIF(Vertices[Degree], "&gt;=" &amp; D27)</f>
        <v>0</v>
      </c>
      <c r="F26" s="39">
        <f t="shared" si="2"/>
        <v>0</v>
      </c>
      <c r="G26" s="40">
        <f>COUNTIF(Vertices[In-Degree], "&gt;= " &amp; F26) - COUNTIF(Vertices[In-Degree], "&gt;=" &amp; F27)</f>
        <v>0</v>
      </c>
      <c r="H26" s="39">
        <f t="shared" si="3"/>
        <v>0</v>
      </c>
      <c r="I26" s="40">
        <f>COUNTIF(Vertices[Out-Degree], "&gt;= " &amp; H26) - COUNTIF(Vertices[Out-Degree], "&gt;=" &amp; H27)</f>
        <v>0</v>
      </c>
      <c r="J26" s="39">
        <f t="shared" si="4"/>
        <v>0</v>
      </c>
      <c r="K26" s="40">
        <f>COUNTIF(Vertices[Betweenness Centrality], "&gt;= " &amp; J26) - COUNTIF(Vertices[Betweenness Centrality], "&gt;=" &amp; J27)</f>
        <v>0</v>
      </c>
      <c r="L26" s="39">
        <f t="shared" si="5"/>
        <v>0</v>
      </c>
      <c r="M26" s="40">
        <f>COUNTIF(Vertices[Closeness Centrality], "&gt;= " &amp; L26) - COUNTIF(Vertices[Closeness Centrality], "&gt;=" &amp; L27)</f>
        <v>0</v>
      </c>
      <c r="N26" s="39">
        <f t="shared" si="6"/>
        <v>0</v>
      </c>
      <c r="O26" s="40">
        <f>COUNTIF(Vertices[Eigenvector Centrality], "&gt;= " &amp; N26) - COUNTIF(Vertices[Eigenvector Centrality], "&gt;=" &amp; N27)</f>
        <v>0</v>
      </c>
      <c r="P26" s="39">
        <f t="shared" si="7"/>
        <v>0</v>
      </c>
      <c r="Q26" s="40">
        <f>COUNTIF(Vertices[PageRank], "&gt;= " &amp; P26) - COUNTIF(Vertices[PageRank], "&gt;=" &amp; P27)</f>
        <v>0</v>
      </c>
      <c r="R26" s="39">
        <f t="shared" si="8"/>
        <v>0</v>
      </c>
      <c r="S26" s="45">
        <f>COUNTIF(Vertices[Clustering Coefficient], "&gt;= " &amp; R26) - COUNTIF(Vertices[Clustering Coefficient], "&gt;=" &amp; R27)</f>
        <v>0</v>
      </c>
      <c r="T26" s="39" t="e">
        <f t="shared" ca="1" si="9"/>
        <v>#REF!</v>
      </c>
      <c r="U26" s="40" t="e">
        <f t="shared" ca="1" si="0"/>
        <v>#REF!</v>
      </c>
    </row>
    <row r="27" spans="1:21">
      <c r="D27" s="34">
        <f t="shared" si="1"/>
        <v>2.7441860465116279</v>
      </c>
      <c r="E27" s="3">
        <f>COUNTIF(Vertices[Degree], "&gt;= " &amp; D27) - COUNTIF(Vertices[Degree], "&gt;=" &amp; D28)</f>
        <v>0</v>
      </c>
      <c r="F27" s="41">
        <f t="shared" si="2"/>
        <v>0</v>
      </c>
      <c r="G27" s="42">
        <f>COUNTIF(Vertices[In-Degree], "&gt;= " &amp; F27) - COUNTIF(Vertices[In-Degree], "&gt;=" &amp; F28)</f>
        <v>0</v>
      </c>
      <c r="H27" s="41">
        <f t="shared" si="3"/>
        <v>0</v>
      </c>
      <c r="I27" s="42">
        <f>COUNTIF(Vertices[Out-Degree], "&gt;= " &amp; H27) - COUNTIF(Vertices[Out-Degree], "&gt;=" &amp; H28)</f>
        <v>0</v>
      </c>
      <c r="J27" s="41">
        <f t="shared" si="4"/>
        <v>0</v>
      </c>
      <c r="K27" s="42">
        <f>COUNTIF(Vertices[Betweenness Centrality], "&gt;= " &amp; J27) - COUNTIF(Vertices[Betweenness Centrality], "&gt;=" &amp; J28)</f>
        <v>0</v>
      </c>
      <c r="L27" s="41">
        <f t="shared" si="5"/>
        <v>0</v>
      </c>
      <c r="M27" s="42">
        <f>COUNTIF(Vertices[Closeness Centrality], "&gt;= " &amp; L27) - COUNTIF(Vertices[Closeness Centrality], "&gt;=" &amp; L28)</f>
        <v>0</v>
      </c>
      <c r="N27" s="41">
        <f t="shared" si="6"/>
        <v>0</v>
      </c>
      <c r="O27" s="42">
        <f>COUNTIF(Vertices[Eigenvector Centrality], "&gt;= " &amp; N27) - COUNTIF(Vertices[Eigenvector Centrality], "&gt;=" &amp; N28)</f>
        <v>0</v>
      </c>
      <c r="P27" s="41">
        <f t="shared" si="7"/>
        <v>0</v>
      </c>
      <c r="Q27" s="42">
        <f>COUNTIF(Vertices[PageRank], "&gt;= " &amp; P27) - COUNTIF(Vertices[PageRank], "&gt;=" &amp; P28)</f>
        <v>0</v>
      </c>
      <c r="R27" s="41">
        <f t="shared" si="8"/>
        <v>0</v>
      </c>
      <c r="S27" s="46">
        <f>COUNTIF(Vertices[Clustering Coefficient], "&gt;= " &amp; R27) - COUNTIF(Vertices[Clustering Coefficient], "&gt;=" &amp; R28)</f>
        <v>0</v>
      </c>
      <c r="T27" s="41" t="e">
        <f t="shared" ca="1" si="9"/>
        <v>#REF!</v>
      </c>
      <c r="U27" s="42" t="e">
        <f t="shared" ca="1" si="0"/>
        <v>#REF!</v>
      </c>
    </row>
    <row r="28" spans="1:21">
      <c r="D28" s="34">
        <f t="shared" si="1"/>
        <v>2.8139534883720931</v>
      </c>
      <c r="E28" s="3">
        <f>COUNTIF(Vertices[Degree], "&gt;= " &amp; D28) - COUNTIF(Vertices[Degree], "&gt;=" &amp; D29)</f>
        <v>0</v>
      </c>
      <c r="F28" s="39">
        <f t="shared" si="2"/>
        <v>0</v>
      </c>
      <c r="G28" s="40">
        <f>COUNTIF(Vertices[In-Degree], "&gt;= " &amp; F28) - COUNTIF(Vertices[In-Degree], "&gt;=" &amp; F29)</f>
        <v>0</v>
      </c>
      <c r="H28" s="39">
        <f t="shared" si="3"/>
        <v>0</v>
      </c>
      <c r="I28" s="40">
        <f>COUNTIF(Vertices[Out-Degree], "&gt;= " &amp; H28) - COUNTIF(Vertices[Out-Degree], "&gt;=" &amp; H29)</f>
        <v>0</v>
      </c>
      <c r="J28" s="39">
        <f t="shared" si="4"/>
        <v>0</v>
      </c>
      <c r="K28" s="40">
        <f>COUNTIF(Vertices[Betweenness Centrality], "&gt;= " &amp; J28) - COUNTIF(Vertices[Betweenness Centrality], "&gt;=" &amp; J29)</f>
        <v>0</v>
      </c>
      <c r="L28" s="39">
        <f t="shared" si="5"/>
        <v>0</v>
      </c>
      <c r="M28" s="40">
        <f>COUNTIF(Vertices[Closeness Centrality], "&gt;= " &amp; L28) - COUNTIF(Vertices[Closeness Centrality], "&gt;=" &amp; L29)</f>
        <v>0</v>
      </c>
      <c r="N28" s="39">
        <f t="shared" si="6"/>
        <v>0</v>
      </c>
      <c r="O28" s="40">
        <f>COUNTIF(Vertices[Eigenvector Centrality], "&gt;= " &amp; N28) - COUNTIF(Vertices[Eigenvector Centrality], "&gt;=" &amp; N29)</f>
        <v>0</v>
      </c>
      <c r="P28" s="39">
        <f t="shared" si="7"/>
        <v>0</v>
      </c>
      <c r="Q28" s="40">
        <f>COUNTIF(Vertices[PageRank], "&gt;= " &amp; P28) - COUNTIF(Vertices[PageRank], "&gt;=" &amp; P29)</f>
        <v>0</v>
      </c>
      <c r="R28" s="39">
        <f t="shared" si="8"/>
        <v>0</v>
      </c>
      <c r="S28" s="45">
        <f>COUNTIF(Vertices[Clustering Coefficient], "&gt;= " &amp; R28) - COUNTIF(Vertices[Clustering Coefficient], "&gt;=" &amp; R29)</f>
        <v>0</v>
      </c>
      <c r="T28" s="39" t="e">
        <f t="shared" ca="1" si="9"/>
        <v>#REF!</v>
      </c>
      <c r="U28" s="40" t="e">
        <f t="shared" ca="1" si="0"/>
        <v>#REF!</v>
      </c>
    </row>
    <row r="29" spans="1:21">
      <c r="A29" t="s">
        <v>164</v>
      </c>
      <c r="B29" t="s">
        <v>17</v>
      </c>
      <c r="D29" s="34">
        <f t="shared" si="1"/>
        <v>2.8837209302325584</v>
      </c>
      <c r="E29" s="3">
        <f>COUNTIF(Vertices[Degree], "&gt;= " &amp; D29) - COUNTIF(Vertices[Degree], "&gt;=" &amp; D30)</f>
        <v>0</v>
      </c>
      <c r="F29" s="41">
        <f t="shared" si="2"/>
        <v>0</v>
      </c>
      <c r="G29" s="42">
        <f>COUNTIF(Vertices[In-Degree], "&gt;= " &amp; F29) - COUNTIF(Vertices[In-Degree], "&gt;=" &amp; F30)</f>
        <v>0</v>
      </c>
      <c r="H29" s="41">
        <f t="shared" si="3"/>
        <v>0</v>
      </c>
      <c r="I29" s="42">
        <f>COUNTIF(Vertices[Out-Degree], "&gt;= " &amp; H29) - COUNTIF(Vertices[Out-Degree], "&gt;=" &amp; H30)</f>
        <v>0</v>
      </c>
      <c r="J29" s="41">
        <f t="shared" si="4"/>
        <v>0</v>
      </c>
      <c r="K29" s="42">
        <f>COUNTIF(Vertices[Betweenness Centrality], "&gt;= " &amp; J29) - COUNTIF(Vertices[Betweenness Centrality], "&gt;=" &amp; J30)</f>
        <v>0</v>
      </c>
      <c r="L29" s="41">
        <f t="shared" si="5"/>
        <v>0</v>
      </c>
      <c r="M29" s="42">
        <f>COUNTIF(Vertices[Closeness Centrality], "&gt;= " &amp; L29) - COUNTIF(Vertices[Closeness Centrality], "&gt;=" &amp; L30)</f>
        <v>0</v>
      </c>
      <c r="N29" s="41">
        <f t="shared" si="6"/>
        <v>0</v>
      </c>
      <c r="O29" s="42">
        <f>COUNTIF(Vertices[Eigenvector Centrality], "&gt;= " &amp; N29) - COUNTIF(Vertices[Eigenvector Centrality], "&gt;=" &amp; N30)</f>
        <v>0</v>
      </c>
      <c r="P29" s="41">
        <f t="shared" si="7"/>
        <v>0</v>
      </c>
      <c r="Q29" s="42">
        <f>COUNTIF(Vertices[PageRank], "&gt;= " &amp; P29) - COUNTIF(Vertices[PageRank], "&gt;=" &amp; P30)</f>
        <v>0</v>
      </c>
      <c r="R29" s="41">
        <f t="shared" si="8"/>
        <v>0</v>
      </c>
      <c r="S29" s="46">
        <f>COUNTIF(Vertices[Clustering Coefficient], "&gt;= " &amp; R29) - COUNTIF(Vertices[Clustering Coefficient], "&gt;=" &amp; R30)</f>
        <v>0</v>
      </c>
      <c r="T29" s="41" t="e">
        <f t="shared" ca="1" si="9"/>
        <v>#REF!</v>
      </c>
      <c r="U29" s="42" t="e">
        <f t="shared" ca="1" si="0"/>
        <v>#REF!</v>
      </c>
    </row>
    <row r="30" spans="1:21">
      <c r="A30" s="35"/>
      <c r="B30" s="35"/>
      <c r="D30" s="34">
        <f t="shared" si="1"/>
        <v>2.9534883720930236</v>
      </c>
      <c r="E30" s="3">
        <f>COUNTIF(Vertices[Degree], "&gt;= " &amp; D30) - COUNTIF(Vertices[Degree], "&gt;=" &amp; D31)</f>
        <v>3</v>
      </c>
      <c r="F30" s="39">
        <f t="shared" si="2"/>
        <v>0</v>
      </c>
      <c r="G30" s="40">
        <f>COUNTIF(Vertices[In-Degree], "&gt;= " &amp; F30) - COUNTIF(Vertices[In-Degree], "&gt;=" &amp; F31)</f>
        <v>0</v>
      </c>
      <c r="H30" s="39">
        <f t="shared" si="3"/>
        <v>0</v>
      </c>
      <c r="I30" s="40">
        <f>COUNTIF(Vertices[Out-Degree], "&gt;= " &amp; H30) - COUNTIF(Vertices[Out-Degree], "&gt;=" &amp; H31)</f>
        <v>0</v>
      </c>
      <c r="J30" s="39">
        <f t="shared" si="4"/>
        <v>0</v>
      </c>
      <c r="K30" s="40">
        <f>COUNTIF(Vertices[Betweenness Centrality], "&gt;= " &amp; J30) - COUNTIF(Vertices[Betweenness Centrality], "&gt;=" &amp; J31)</f>
        <v>0</v>
      </c>
      <c r="L30" s="39">
        <f t="shared" si="5"/>
        <v>0</v>
      </c>
      <c r="M30" s="40">
        <f>COUNTIF(Vertices[Closeness Centrality], "&gt;= " &amp; L30) - COUNTIF(Vertices[Closeness Centrality], "&gt;=" &amp; L31)</f>
        <v>0</v>
      </c>
      <c r="N30" s="39">
        <f t="shared" si="6"/>
        <v>0</v>
      </c>
      <c r="O30" s="40">
        <f>COUNTIF(Vertices[Eigenvector Centrality], "&gt;= " &amp; N30) - COUNTIF(Vertices[Eigenvector Centrality], "&gt;=" &amp; N31)</f>
        <v>0</v>
      </c>
      <c r="P30" s="39">
        <f t="shared" si="7"/>
        <v>0</v>
      </c>
      <c r="Q30" s="40">
        <f>COUNTIF(Vertices[PageRank], "&gt;= " &amp; P30) - COUNTIF(Vertices[PageRank], "&gt;=" &amp; P31)</f>
        <v>0</v>
      </c>
      <c r="R30" s="39">
        <f t="shared" si="8"/>
        <v>0</v>
      </c>
      <c r="S30" s="45">
        <f>COUNTIF(Vertices[Clustering Coefficient], "&gt;= " &amp; R30) - COUNTIF(Vertices[Clustering Coefficient], "&gt;=" &amp; R31)</f>
        <v>0</v>
      </c>
      <c r="T30" s="39" t="e">
        <f t="shared" ca="1" si="9"/>
        <v>#REF!</v>
      </c>
      <c r="U30" s="40" t="e">
        <f t="shared" ca="1" si="0"/>
        <v>#REF!</v>
      </c>
    </row>
    <row r="31" spans="1:21">
      <c r="A31" s="35"/>
      <c r="B31" s="35"/>
      <c r="D31" s="34">
        <f t="shared" si="1"/>
        <v>3.0232558139534889</v>
      </c>
      <c r="E31" s="3">
        <f>COUNTIF(Vertices[Degree], "&gt;= " &amp; D31) - COUNTIF(Vertices[Degree], "&gt;=" &amp; D32)</f>
        <v>0</v>
      </c>
      <c r="F31" s="41">
        <f t="shared" si="2"/>
        <v>0</v>
      </c>
      <c r="G31" s="42">
        <f>COUNTIF(Vertices[In-Degree], "&gt;= " &amp; F31) - COUNTIF(Vertices[In-Degree], "&gt;=" &amp; F32)</f>
        <v>0</v>
      </c>
      <c r="H31" s="41">
        <f t="shared" si="3"/>
        <v>0</v>
      </c>
      <c r="I31" s="42">
        <f>COUNTIF(Vertices[Out-Degree], "&gt;= " &amp; H31) - COUNTIF(Vertices[Out-Degree], "&gt;=" &amp; H32)</f>
        <v>0</v>
      </c>
      <c r="J31" s="41">
        <f t="shared" si="4"/>
        <v>0</v>
      </c>
      <c r="K31" s="42">
        <f>COUNTIF(Vertices[Betweenness Centrality], "&gt;= " &amp; J31) - COUNTIF(Vertices[Betweenness Centrality], "&gt;=" &amp; J32)</f>
        <v>0</v>
      </c>
      <c r="L31" s="41">
        <f t="shared" si="5"/>
        <v>0</v>
      </c>
      <c r="M31" s="42">
        <f>COUNTIF(Vertices[Closeness Centrality], "&gt;= " &amp; L31) - COUNTIF(Vertices[Closeness Centrality], "&gt;=" &amp; L32)</f>
        <v>0</v>
      </c>
      <c r="N31" s="41">
        <f t="shared" si="6"/>
        <v>0</v>
      </c>
      <c r="O31" s="42">
        <f>COUNTIF(Vertices[Eigenvector Centrality], "&gt;= " &amp; N31) - COUNTIF(Vertices[Eigenvector Centrality], "&gt;=" &amp; N32)</f>
        <v>0</v>
      </c>
      <c r="P31" s="41">
        <f t="shared" si="7"/>
        <v>0</v>
      </c>
      <c r="Q31" s="42">
        <f>COUNTIF(Vertices[PageRank], "&gt;= " &amp; P31) - COUNTIF(Vertices[PageRank], "&gt;=" &amp; P32)</f>
        <v>0</v>
      </c>
      <c r="R31" s="41">
        <f t="shared" si="8"/>
        <v>0</v>
      </c>
      <c r="S31" s="46">
        <f>COUNTIF(Vertices[Clustering Coefficient], "&gt;= " &amp; R31) - COUNTIF(Vertices[Clustering Coefficient], "&gt;=" &amp; R32)</f>
        <v>0</v>
      </c>
      <c r="T31" s="41" t="e">
        <f t="shared" ca="1" si="9"/>
        <v>#REF!</v>
      </c>
      <c r="U31" s="42" t="e">
        <f t="shared" ca="1" si="0"/>
        <v>#REF!</v>
      </c>
    </row>
    <row r="32" spans="1:21">
      <c r="A32" s="35"/>
      <c r="B32" s="35"/>
      <c r="D32" s="34">
        <f t="shared" si="1"/>
        <v>3.0930232558139541</v>
      </c>
      <c r="E32" s="3">
        <f>COUNTIF(Vertices[Degree], "&gt;= " &amp; D32) - COUNTIF(Vertices[Degree], "&gt;=" &amp; D33)</f>
        <v>0</v>
      </c>
      <c r="F32" s="39">
        <f t="shared" si="2"/>
        <v>0</v>
      </c>
      <c r="G32" s="40">
        <f>COUNTIF(Vertices[In-Degree], "&gt;= " &amp; F32) - COUNTIF(Vertices[In-Degree], "&gt;=" &amp; F33)</f>
        <v>0</v>
      </c>
      <c r="H32" s="39">
        <f t="shared" si="3"/>
        <v>0</v>
      </c>
      <c r="I32" s="40">
        <f>COUNTIF(Vertices[Out-Degree], "&gt;= " &amp; H32) - COUNTIF(Vertices[Out-Degree], "&gt;=" &amp; H33)</f>
        <v>0</v>
      </c>
      <c r="J32" s="39">
        <f t="shared" si="4"/>
        <v>0</v>
      </c>
      <c r="K32" s="40">
        <f>COUNTIF(Vertices[Betweenness Centrality], "&gt;= " &amp; J32) - COUNTIF(Vertices[Betweenness Centrality], "&gt;=" &amp; J33)</f>
        <v>0</v>
      </c>
      <c r="L32" s="39">
        <f t="shared" si="5"/>
        <v>0</v>
      </c>
      <c r="M32" s="40">
        <f>COUNTIF(Vertices[Closeness Centrality], "&gt;= " &amp; L32) - COUNTIF(Vertices[Closeness Centrality], "&gt;=" &amp; L33)</f>
        <v>0</v>
      </c>
      <c r="N32" s="39">
        <f t="shared" si="6"/>
        <v>0</v>
      </c>
      <c r="O32" s="40">
        <f>COUNTIF(Vertices[Eigenvector Centrality], "&gt;= " &amp; N32) - COUNTIF(Vertices[Eigenvector Centrality], "&gt;=" &amp; N33)</f>
        <v>0</v>
      </c>
      <c r="P32" s="39">
        <f t="shared" si="7"/>
        <v>0</v>
      </c>
      <c r="Q32" s="40">
        <f>COUNTIF(Vertices[PageRank], "&gt;= " &amp; P32) - COUNTIF(Vertices[PageRank], "&gt;=" &amp; P33)</f>
        <v>0</v>
      </c>
      <c r="R32" s="39">
        <f t="shared" si="8"/>
        <v>0</v>
      </c>
      <c r="S32" s="45">
        <f>COUNTIF(Vertices[Clustering Coefficient], "&gt;= " &amp; R32) - COUNTIF(Vertices[Clustering Coefficient], "&gt;=" &amp; R33)</f>
        <v>0</v>
      </c>
      <c r="T32" s="39" t="e">
        <f t="shared" ca="1" si="9"/>
        <v>#REF!</v>
      </c>
      <c r="U32" s="40" t="e">
        <f t="shared" ca="1" si="0"/>
        <v>#REF!</v>
      </c>
    </row>
    <row r="33" spans="1:21">
      <c r="D33" s="34">
        <f t="shared" si="1"/>
        <v>3.1627906976744193</v>
      </c>
      <c r="E33" s="3">
        <f>COUNTIF(Vertices[Degree], "&gt;= " &amp; D33) - COUNTIF(Vertices[Degree], "&gt;=" &amp; D34)</f>
        <v>0</v>
      </c>
      <c r="F33" s="41">
        <f t="shared" si="2"/>
        <v>0</v>
      </c>
      <c r="G33" s="42">
        <f>COUNTIF(Vertices[In-Degree], "&gt;= " &amp; F33) - COUNTIF(Vertices[In-Degree], "&gt;=" &amp; F34)</f>
        <v>0</v>
      </c>
      <c r="H33" s="41">
        <f t="shared" si="3"/>
        <v>0</v>
      </c>
      <c r="I33" s="42">
        <f>COUNTIF(Vertices[Out-Degree], "&gt;= " &amp; H33) - COUNTIF(Vertices[Out-Degree], "&gt;=" &amp; H34)</f>
        <v>0</v>
      </c>
      <c r="J33" s="41">
        <f t="shared" si="4"/>
        <v>0</v>
      </c>
      <c r="K33" s="42">
        <f>COUNTIF(Vertices[Betweenness Centrality], "&gt;= " &amp; J33) - COUNTIF(Vertices[Betweenness Centrality], "&gt;=" &amp; J34)</f>
        <v>0</v>
      </c>
      <c r="L33" s="41">
        <f t="shared" si="5"/>
        <v>0</v>
      </c>
      <c r="M33" s="42">
        <f>COUNTIF(Vertices[Closeness Centrality], "&gt;= " &amp; L33) - COUNTIF(Vertices[Closeness Centrality], "&gt;=" &amp; L34)</f>
        <v>0</v>
      </c>
      <c r="N33" s="41">
        <f t="shared" si="6"/>
        <v>0</v>
      </c>
      <c r="O33" s="42">
        <f>COUNTIF(Vertices[Eigenvector Centrality], "&gt;= " &amp; N33) - COUNTIF(Vertices[Eigenvector Centrality], "&gt;=" &amp; N34)</f>
        <v>0</v>
      </c>
      <c r="P33" s="41">
        <f t="shared" si="7"/>
        <v>0</v>
      </c>
      <c r="Q33" s="42">
        <f>COUNTIF(Vertices[PageRank], "&gt;= " &amp; P33) - COUNTIF(Vertices[PageRank], "&gt;=" &amp; P34)</f>
        <v>0</v>
      </c>
      <c r="R33" s="41">
        <f t="shared" si="8"/>
        <v>0</v>
      </c>
      <c r="S33" s="46">
        <f>COUNTIF(Vertices[Clustering Coefficient], "&gt;= " &amp; R33) - COUNTIF(Vertices[Clustering Coefficient], "&gt;=" &amp; R34)</f>
        <v>0</v>
      </c>
      <c r="T33" s="41" t="e">
        <f t="shared" ca="1" si="9"/>
        <v>#REF!</v>
      </c>
      <c r="U33" s="42" t="e">
        <f t="shared" ca="1" si="0"/>
        <v>#REF!</v>
      </c>
    </row>
    <row r="34" spans="1:21">
      <c r="D34" s="34">
        <f t="shared" si="1"/>
        <v>3.2325581395348846</v>
      </c>
      <c r="E34" s="3">
        <f>COUNTIF(Vertices[Degree], "&gt;= " &amp; D34) - COUNTIF(Vertices[Degree], "&gt;=" &amp; D35)</f>
        <v>0</v>
      </c>
      <c r="F34" s="39">
        <f t="shared" si="2"/>
        <v>0</v>
      </c>
      <c r="G34" s="40">
        <f>COUNTIF(Vertices[In-Degree], "&gt;= " &amp; F34) - COUNTIF(Vertices[In-Degree], "&gt;=" &amp; F35)</f>
        <v>0</v>
      </c>
      <c r="H34" s="39">
        <f t="shared" si="3"/>
        <v>0</v>
      </c>
      <c r="I34" s="40">
        <f>COUNTIF(Vertices[Out-Degree], "&gt;= " &amp; H34) - COUNTIF(Vertices[Out-Degree], "&gt;=" &amp; H35)</f>
        <v>0</v>
      </c>
      <c r="J34" s="39">
        <f t="shared" si="4"/>
        <v>0</v>
      </c>
      <c r="K34" s="40">
        <f>COUNTIF(Vertices[Betweenness Centrality], "&gt;= " &amp; J34) - COUNTIF(Vertices[Betweenness Centrality], "&gt;=" &amp; J35)</f>
        <v>0</v>
      </c>
      <c r="L34" s="39">
        <f t="shared" si="5"/>
        <v>0</v>
      </c>
      <c r="M34" s="40">
        <f>COUNTIF(Vertices[Closeness Centrality], "&gt;= " &amp; L34) - COUNTIF(Vertices[Closeness Centrality], "&gt;=" &amp; L35)</f>
        <v>0</v>
      </c>
      <c r="N34" s="39">
        <f t="shared" si="6"/>
        <v>0</v>
      </c>
      <c r="O34" s="40">
        <f>COUNTIF(Vertices[Eigenvector Centrality], "&gt;= " &amp; N34) - COUNTIF(Vertices[Eigenvector Centrality], "&gt;=" &amp; N35)</f>
        <v>0</v>
      </c>
      <c r="P34" s="39">
        <f t="shared" si="7"/>
        <v>0</v>
      </c>
      <c r="Q34" s="40">
        <f>COUNTIF(Vertices[PageRank], "&gt;= " &amp; P34) - COUNTIF(Vertices[PageRank], "&gt;=" &amp; P35)</f>
        <v>0</v>
      </c>
      <c r="R34" s="39">
        <f t="shared" si="8"/>
        <v>0</v>
      </c>
      <c r="S34" s="45">
        <f>COUNTIF(Vertices[Clustering Coefficient], "&gt;= " &amp; R34) - COUNTIF(Vertices[Clustering Coefficient], "&gt;=" &amp; R35)</f>
        <v>0</v>
      </c>
      <c r="T34" s="39" t="e">
        <f t="shared" ca="1" si="9"/>
        <v>#REF!</v>
      </c>
      <c r="U34" s="40" t="e">
        <f t="shared" ca="1" si="0"/>
        <v>#REF!</v>
      </c>
    </row>
    <row r="35" spans="1:21">
      <c r="D35" s="34">
        <f t="shared" si="1"/>
        <v>3.3023255813953498</v>
      </c>
      <c r="E35" s="3">
        <f>COUNTIF(Vertices[Degree], "&gt;= " &amp; D35) - COUNTIF(Vertices[Degree], "&gt;=" &amp; D36)</f>
        <v>0</v>
      </c>
      <c r="F35" s="41">
        <f t="shared" si="2"/>
        <v>0</v>
      </c>
      <c r="G35" s="42">
        <f>COUNTIF(Vertices[In-Degree], "&gt;= " &amp; F35) - COUNTIF(Vertices[In-Degree], "&gt;=" &amp; F36)</f>
        <v>0</v>
      </c>
      <c r="H35" s="41">
        <f t="shared" si="3"/>
        <v>0</v>
      </c>
      <c r="I35" s="42">
        <f>COUNTIF(Vertices[Out-Degree], "&gt;= " &amp; H35) - COUNTIF(Vertices[Out-Degree], "&gt;=" &amp; H36)</f>
        <v>0</v>
      </c>
      <c r="J35" s="41">
        <f t="shared" si="4"/>
        <v>0</v>
      </c>
      <c r="K35" s="42">
        <f>COUNTIF(Vertices[Betweenness Centrality], "&gt;= " &amp; J35) - COUNTIF(Vertices[Betweenness Centrality], "&gt;=" &amp; J36)</f>
        <v>0</v>
      </c>
      <c r="L35" s="41">
        <f t="shared" si="5"/>
        <v>0</v>
      </c>
      <c r="M35" s="42">
        <f>COUNTIF(Vertices[Closeness Centrality], "&gt;= " &amp; L35) - COUNTIF(Vertices[Closeness Centrality], "&gt;=" &amp; L36)</f>
        <v>0</v>
      </c>
      <c r="N35" s="41">
        <f t="shared" si="6"/>
        <v>0</v>
      </c>
      <c r="O35" s="42">
        <f>COUNTIF(Vertices[Eigenvector Centrality], "&gt;= " &amp; N35) - COUNTIF(Vertices[Eigenvector Centrality], "&gt;=" &amp; N36)</f>
        <v>0</v>
      </c>
      <c r="P35" s="41">
        <f t="shared" si="7"/>
        <v>0</v>
      </c>
      <c r="Q35" s="42">
        <f>COUNTIF(Vertices[PageRank], "&gt;= " &amp; P35) - COUNTIF(Vertices[PageRank], "&gt;=" &amp; P36)</f>
        <v>0</v>
      </c>
      <c r="R35" s="41">
        <f t="shared" si="8"/>
        <v>0</v>
      </c>
      <c r="S35" s="46">
        <f>COUNTIF(Vertices[Clustering Coefficient], "&gt;= " &amp; R35) - COUNTIF(Vertices[Clustering Coefficient], "&gt;=" &amp; R36)</f>
        <v>0</v>
      </c>
      <c r="T35" s="41" t="e">
        <f t="shared" ca="1" si="9"/>
        <v>#REF!</v>
      </c>
      <c r="U35" s="42" t="e">
        <f t="shared" ca="1" si="0"/>
        <v>#REF!</v>
      </c>
    </row>
    <row r="36" spans="1:21">
      <c r="D36" s="34">
        <f t="shared" si="1"/>
        <v>3.3720930232558151</v>
      </c>
      <c r="E36" s="3">
        <f>COUNTIF(Vertices[Degree], "&gt;= " &amp; D36) - COUNTIF(Vertices[Degree], "&gt;=" &amp; D37)</f>
        <v>0</v>
      </c>
      <c r="F36" s="39">
        <f t="shared" si="2"/>
        <v>0</v>
      </c>
      <c r="G36" s="40">
        <f>COUNTIF(Vertices[In-Degree], "&gt;= " &amp; F36) - COUNTIF(Vertices[In-Degree], "&gt;=" &amp; F37)</f>
        <v>0</v>
      </c>
      <c r="H36" s="39">
        <f t="shared" si="3"/>
        <v>0</v>
      </c>
      <c r="I36" s="40">
        <f>COUNTIF(Vertices[Out-Degree], "&gt;= " &amp; H36) - COUNTIF(Vertices[Out-Degree], "&gt;=" &amp; H37)</f>
        <v>0</v>
      </c>
      <c r="J36" s="39">
        <f t="shared" si="4"/>
        <v>0</v>
      </c>
      <c r="K36" s="40">
        <f>COUNTIF(Vertices[Betweenness Centrality], "&gt;= " &amp; J36) - COUNTIF(Vertices[Betweenness Centrality], "&gt;=" &amp; J37)</f>
        <v>0</v>
      </c>
      <c r="L36" s="39">
        <f t="shared" si="5"/>
        <v>0</v>
      </c>
      <c r="M36" s="40">
        <f>COUNTIF(Vertices[Closeness Centrality], "&gt;= " &amp; L36) - COUNTIF(Vertices[Closeness Centrality], "&gt;=" &amp; L37)</f>
        <v>0</v>
      </c>
      <c r="N36" s="39">
        <f t="shared" si="6"/>
        <v>0</v>
      </c>
      <c r="O36" s="40">
        <f>COUNTIF(Vertices[Eigenvector Centrality], "&gt;= " &amp; N36) - COUNTIF(Vertices[Eigenvector Centrality], "&gt;=" &amp; N37)</f>
        <v>0</v>
      </c>
      <c r="P36" s="39">
        <f t="shared" si="7"/>
        <v>0</v>
      </c>
      <c r="Q36" s="40">
        <f>COUNTIF(Vertices[PageRank], "&gt;= " &amp; P36) - COUNTIF(Vertices[PageRank], "&gt;=" &amp; P37)</f>
        <v>0</v>
      </c>
      <c r="R36" s="39">
        <f t="shared" si="8"/>
        <v>0</v>
      </c>
      <c r="S36" s="45">
        <f>COUNTIF(Vertices[Clustering Coefficient], "&gt;= " &amp; R36) - COUNTIF(Vertices[Clustering Coefficient], "&gt;=" &amp; R37)</f>
        <v>0</v>
      </c>
      <c r="T36" s="39" t="e">
        <f t="shared" ca="1" si="9"/>
        <v>#REF!</v>
      </c>
      <c r="U36" s="40" t="e">
        <f t="shared" ca="1" si="0"/>
        <v>#REF!</v>
      </c>
    </row>
    <row r="37" spans="1:21">
      <c r="D37" s="34">
        <f t="shared" si="1"/>
        <v>3.4418604651162803</v>
      </c>
      <c r="E37" s="3">
        <f>COUNTIF(Vertices[Degree], "&gt;= " &amp; D37) - COUNTIF(Vertices[Degree], "&gt;=" &amp; D38)</f>
        <v>0</v>
      </c>
      <c r="F37" s="41">
        <f t="shared" si="2"/>
        <v>0</v>
      </c>
      <c r="G37" s="42">
        <f>COUNTIF(Vertices[In-Degree], "&gt;= " &amp; F37) - COUNTIF(Vertices[In-Degree], "&gt;=" &amp; F38)</f>
        <v>0</v>
      </c>
      <c r="H37" s="41">
        <f t="shared" si="3"/>
        <v>0</v>
      </c>
      <c r="I37" s="42">
        <f>COUNTIF(Vertices[Out-Degree], "&gt;= " &amp; H37) - COUNTIF(Vertices[Out-Degree], "&gt;=" &amp; H38)</f>
        <v>0</v>
      </c>
      <c r="J37" s="41">
        <f t="shared" si="4"/>
        <v>0</v>
      </c>
      <c r="K37" s="42">
        <f>COUNTIF(Vertices[Betweenness Centrality], "&gt;= " &amp; J37) - COUNTIF(Vertices[Betweenness Centrality], "&gt;=" &amp; J38)</f>
        <v>0</v>
      </c>
      <c r="L37" s="41">
        <f t="shared" si="5"/>
        <v>0</v>
      </c>
      <c r="M37" s="42">
        <f>COUNTIF(Vertices[Closeness Centrality], "&gt;= " &amp; L37) - COUNTIF(Vertices[Closeness Centrality], "&gt;=" &amp; L38)</f>
        <v>0</v>
      </c>
      <c r="N37" s="41">
        <f t="shared" si="6"/>
        <v>0</v>
      </c>
      <c r="O37" s="42">
        <f>COUNTIF(Vertices[Eigenvector Centrality], "&gt;= " &amp; N37) - COUNTIF(Vertices[Eigenvector Centrality], "&gt;=" &amp; N38)</f>
        <v>0</v>
      </c>
      <c r="P37" s="41">
        <f t="shared" si="7"/>
        <v>0</v>
      </c>
      <c r="Q37" s="42">
        <f>COUNTIF(Vertices[PageRank], "&gt;= " &amp; P37) - COUNTIF(Vertices[PageRank], "&gt;=" &amp; P38)</f>
        <v>0</v>
      </c>
      <c r="R37" s="41">
        <f t="shared" si="8"/>
        <v>0</v>
      </c>
      <c r="S37" s="46">
        <f>COUNTIF(Vertices[Clustering Coefficient], "&gt;= " &amp; R37) - COUNTIF(Vertices[Clustering Coefficient], "&gt;=" &amp; R38)</f>
        <v>0</v>
      </c>
      <c r="T37" s="41" t="e">
        <f t="shared" ca="1" si="9"/>
        <v>#REF!</v>
      </c>
      <c r="U37" s="42" t="e">
        <f t="shared" ca="1" si="0"/>
        <v>#REF!</v>
      </c>
    </row>
    <row r="38" spans="1:21">
      <c r="D38" s="34">
        <f t="shared" si="1"/>
        <v>3.5116279069767455</v>
      </c>
      <c r="E38" s="3">
        <f>COUNTIF(Vertices[Degree], "&gt;= " &amp; D38) - COUNTIF(Vertices[Degree], "&gt;=" &amp; D39)</f>
        <v>0</v>
      </c>
      <c r="F38" s="39">
        <f t="shared" si="2"/>
        <v>0</v>
      </c>
      <c r="G38" s="40">
        <f>COUNTIF(Vertices[In-Degree], "&gt;= " &amp; F38) - COUNTIF(Vertices[In-Degree], "&gt;=" &amp; F39)</f>
        <v>0</v>
      </c>
      <c r="H38" s="39">
        <f t="shared" si="3"/>
        <v>0</v>
      </c>
      <c r="I38" s="40">
        <f>COUNTIF(Vertices[Out-Degree], "&gt;= " &amp; H38) - COUNTIF(Vertices[Out-Degree], "&gt;=" &amp; H39)</f>
        <v>0</v>
      </c>
      <c r="J38" s="39">
        <f t="shared" si="4"/>
        <v>0</v>
      </c>
      <c r="K38" s="40">
        <f>COUNTIF(Vertices[Betweenness Centrality], "&gt;= " &amp; J38) - COUNTIF(Vertices[Betweenness Centrality], "&gt;=" &amp; J39)</f>
        <v>0</v>
      </c>
      <c r="L38" s="39">
        <f t="shared" si="5"/>
        <v>0</v>
      </c>
      <c r="M38" s="40">
        <f>COUNTIF(Vertices[Closeness Centrality], "&gt;= " &amp; L38) - COUNTIF(Vertices[Closeness Centrality], "&gt;=" &amp; L39)</f>
        <v>0</v>
      </c>
      <c r="N38" s="39">
        <f t="shared" si="6"/>
        <v>0</v>
      </c>
      <c r="O38" s="40">
        <f>COUNTIF(Vertices[Eigenvector Centrality], "&gt;= " &amp; N38) - COUNTIF(Vertices[Eigenvector Centrality], "&gt;=" &amp; N39)</f>
        <v>0</v>
      </c>
      <c r="P38" s="39">
        <f t="shared" si="7"/>
        <v>0</v>
      </c>
      <c r="Q38" s="40">
        <f>COUNTIF(Vertices[PageRank], "&gt;= " &amp; P38) - COUNTIF(Vertices[PageRank], "&gt;=" &amp; P39)</f>
        <v>0</v>
      </c>
      <c r="R38" s="39">
        <f t="shared" si="8"/>
        <v>0</v>
      </c>
      <c r="S38" s="45">
        <f>COUNTIF(Vertices[Clustering Coefficient], "&gt;= " &amp; R38) - COUNTIF(Vertices[Clustering Coefficient], "&gt;=" &amp; R39)</f>
        <v>0</v>
      </c>
      <c r="T38" s="39" t="e">
        <f t="shared" ca="1" si="9"/>
        <v>#REF!</v>
      </c>
      <c r="U38" s="40" t="e">
        <f t="shared" ca="1" si="0"/>
        <v>#REF!</v>
      </c>
    </row>
    <row r="39" spans="1:21">
      <c r="D39" s="34">
        <f t="shared" si="1"/>
        <v>3.5813953488372108</v>
      </c>
      <c r="E39" s="3">
        <f>COUNTIF(Vertices[Degree], "&gt;= " &amp; D39) - COUNTIF(Vertices[Degree], "&gt;=" &amp; D40)</f>
        <v>0</v>
      </c>
      <c r="F39" s="41">
        <f t="shared" si="2"/>
        <v>0</v>
      </c>
      <c r="G39" s="42">
        <f>COUNTIF(Vertices[In-Degree], "&gt;= " &amp; F39) - COUNTIF(Vertices[In-Degree], "&gt;=" &amp; F40)</f>
        <v>0</v>
      </c>
      <c r="H39" s="41">
        <f t="shared" si="3"/>
        <v>0</v>
      </c>
      <c r="I39" s="42">
        <f>COUNTIF(Vertices[Out-Degree], "&gt;= " &amp; H39) - COUNTIF(Vertices[Out-Degree], "&gt;=" &amp; H40)</f>
        <v>0</v>
      </c>
      <c r="J39" s="41">
        <f t="shared" si="4"/>
        <v>0</v>
      </c>
      <c r="K39" s="42">
        <f>COUNTIF(Vertices[Betweenness Centrality], "&gt;= " &amp; J39) - COUNTIF(Vertices[Betweenness Centrality], "&gt;=" &amp; J40)</f>
        <v>0</v>
      </c>
      <c r="L39" s="41">
        <f t="shared" si="5"/>
        <v>0</v>
      </c>
      <c r="M39" s="42">
        <f>COUNTIF(Vertices[Closeness Centrality], "&gt;= " &amp; L39) - COUNTIF(Vertices[Closeness Centrality], "&gt;=" &amp; L40)</f>
        <v>0</v>
      </c>
      <c r="N39" s="41">
        <f t="shared" si="6"/>
        <v>0</v>
      </c>
      <c r="O39" s="42">
        <f>COUNTIF(Vertices[Eigenvector Centrality], "&gt;= " &amp; N39) - COUNTIF(Vertices[Eigenvector Centrality], "&gt;=" &amp; N40)</f>
        <v>0</v>
      </c>
      <c r="P39" s="41">
        <f t="shared" si="7"/>
        <v>0</v>
      </c>
      <c r="Q39" s="42">
        <f>COUNTIF(Vertices[PageRank], "&gt;= " &amp; P39) - COUNTIF(Vertices[PageRank], "&gt;=" &amp; P40)</f>
        <v>0</v>
      </c>
      <c r="R39" s="41">
        <f t="shared" si="8"/>
        <v>0</v>
      </c>
      <c r="S39" s="46">
        <f>COUNTIF(Vertices[Clustering Coefficient], "&gt;= " &amp; R39) - COUNTIF(Vertices[Clustering Coefficient], "&gt;=" &amp; R40)</f>
        <v>0</v>
      </c>
      <c r="T39" s="41" t="e">
        <f t="shared" ca="1" si="9"/>
        <v>#REF!</v>
      </c>
      <c r="U39" s="42" t="e">
        <f t="shared" ca="1" si="0"/>
        <v>#REF!</v>
      </c>
    </row>
    <row r="40" spans="1:21">
      <c r="D40" s="34">
        <f t="shared" si="1"/>
        <v>3.651162790697676</v>
      </c>
      <c r="E40" s="3">
        <f>COUNTIF(Vertices[Degree], "&gt;= " &amp; D40) - COUNTIF(Vertices[Degree], "&gt;=" &amp; D41)</f>
        <v>0</v>
      </c>
      <c r="F40" s="39">
        <f t="shared" si="2"/>
        <v>0</v>
      </c>
      <c r="G40" s="40">
        <f>COUNTIF(Vertices[In-Degree], "&gt;= " &amp; F40) - COUNTIF(Vertices[In-Degree], "&gt;=" &amp; F41)</f>
        <v>0</v>
      </c>
      <c r="H40" s="39">
        <f t="shared" si="3"/>
        <v>0</v>
      </c>
      <c r="I40" s="40">
        <f>COUNTIF(Vertices[Out-Degree], "&gt;= " &amp; H40) - COUNTIF(Vertices[Out-Degree], "&gt;=" &amp; H41)</f>
        <v>0</v>
      </c>
      <c r="J40" s="39">
        <f t="shared" si="4"/>
        <v>0</v>
      </c>
      <c r="K40" s="40">
        <f>COUNTIF(Vertices[Betweenness Centrality], "&gt;= " &amp; J40) - COUNTIF(Vertices[Betweenness Centrality], "&gt;=" &amp; J41)</f>
        <v>0</v>
      </c>
      <c r="L40" s="39">
        <f t="shared" si="5"/>
        <v>0</v>
      </c>
      <c r="M40" s="40">
        <f>COUNTIF(Vertices[Closeness Centrality], "&gt;= " &amp; L40) - COUNTIF(Vertices[Closeness Centrality], "&gt;=" &amp; L41)</f>
        <v>0</v>
      </c>
      <c r="N40" s="39">
        <f t="shared" si="6"/>
        <v>0</v>
      </c>
      <c r="O40" s="40">
        <f>COUNTIF(Vertices[Eigenvector Centrality], "&gt;= " &amp; N40) - COUNTIF(Vertices[Eigenvector Centrality], "&gt;=" &amp; N41)</f>
        <v>0</v>
      </c>
      <c r="P40" s="39">
        <f t="shared" si="7"/>
        <v>0</v>
      </c>
      <c r="Q40" s="40">
        <f>COUNTIF(Vertices[PageRank], "&gt;= " &amp; P40) - COUNTIF(Vertices[PageRank], "&gt;=" &amp; P41)</f>
        <v>0</v>
      </c>
      <c r="R40" s="39">
        <f t="shared" si="8"/>
        <v>0</v>
      </c>
      <c r="S40" s="45">
        <f>COUNTIF(Vertices[Clustering Coefficient], "&gt;= " &amp; R40) - COUNTIF(Vertices[Clustering Coefficient], "&gt;=" &amp; R41)</f>
        <v>0</v>
      </c>
      <c r="T40" s="39" t="e">
        <f t="shared" ca="1" si="9"/>
        <v>#REF!</v>
      </c>
      <c r="U40" s="40" t="e">
        <f t="shared" ca="1" si="0"/>
        <v>#REF!</v>
      </c>
    </row>
    <row r="41" spans="1:21">
      <c r="D41" s="34">
        <f t="shared" si="1"/>
        <v>3.7209302325581413</v>
      </c>
      <c r="E41" s="3">
        <f>COUNTIF(Vertices[Degree], "&gt;= " &amp; D41) - COUNTIF(Vertices[Degree], "&gt;=" &amp; D42)</f>
        <v>0</v>
      </c>
      <c r="F41" s="41">
        <f t="shared" si="2"/>
        <v>0</v>
      </c>
      <c r="G41" s="42">
        <f>COUNTIF(Vertices[In-Degree], "&gt;= " &amp; F41) - COUNTIF(Vertices[In-Degree], "&gt;=" &amp; F42)</f>
        <v>0</v>
      </c>
      <c r="H41" s="41">
        <f t="shared" si="3"/>
        <v>0</v>
      </c>
      <c r="I41" s="42">
        <f>COUNTIF(Vertices[Out-Degree], "&gt;= " &amp; H41) - COUNTIF(Vertices[Out-Degree], "&gt;=" &amp; H42)</f>
        <v>0</v>
      </c>
      <c r="J41" s="41">
        <f t="shared" si="4"/>
        <v>0</v>
      </c>
      <c r="K41" s="42">
        <f>COUNTIF(Vertices[Betweenness Centrality], "&gt;= " &amp; J41) - COUNTIF(Vertices[Betweenness Centrality], "&gt;=" &amp; J42)</f>
        <v>0</v>
      </c>
      <c r="L41" s="41">
        <f t="shared" si="5"/>
        <v>0</v>
      </c>
      <c r="M41" s="42">
        <f>COUNTIF(Vertices[Closeness Centrality], "&gt;= " &amp; L41) - COUNTIF(Vertices[Closeness Centrality], "&gt;=" &amp; L42)</f>
        <v>0</v>
      </c>
      <c r="N41" s="41">
        <f t="shared" si="6"/>
        <v>0</v>
      </c>
      <c r="O41" s="42">
        <f>COUNTIF(Vertices[Eigenvector Centrality], "&gt;= " &amp; N41) - COUNTIF(Vertices[Eigenvector Centrality], "&gt;=" &amp; N42)</f>
        <v>0</v>
      </c>
      <c r="P41" s="41">
        <f t="shared" si="7"/>
        <v>0</v>
      </c>
      <c r="Q41" s="42">
        <f>COUNTIF(Vertices[PageRank], "&gt;= " &amp; P41) - COUNTIF(Vertices[PageRank], "&gt;=" &amp; P42)</f>
        <v>0</v>
      </c>
      <c r="R41" s="41">
        <f t="shared" si="8"/>
        <v>0</v>
      </c>
      <c r="S41" s="46">
        <f>COUNTIF(Vertices[Clustering Coefficient], "&gt;= " &amp; R41) - COUNTIF(Vertices[Clustering Coefficient], "&gt;=" &amp; R42)</f>
        <v>0</v>
      </c>
      <c r="T41" s="41" t="e">
        <f t="shared" ca="1" si="9"/>
        <v>#REF!</v>
      </c>
      <c r="U41" s="42" t="e">
        <f t="shared" ca="1" si="0"/>
        <v>#REF!</v>
      </c>
    </row>
    <row r="42" spans="1:21">
      <c r="D42" s="34">
        <f t="shared" si="1"/>
        <v>3.7906976744186065</v>
      </c>
      <c r="E42" s="3">
        <f>COUNTIF(Vertices[Degree], "&gt;= " &amp; D42) - COUNTIF(Vertices[Degree], "&gt;=" &amp; D43)</f>
        <v>0</v>
      </c>
      <c r="F42" s="39">
        <f t="shared" si="2"/>
        <v>0</v>
      </c>
      <c r="G42" s="40">
        <f>COUNTIF(Vertices[In-Degree], "&gt;= " &amp; F42) - COUNTIF(Vertices[In-Degree], "&gt;=" &amp; F43)</f>
        <v>0</v>
      </c>
      <c r="H42" s="39">
        <f t="shared" si="3"/>
        <v>0</v>
      </c>
      <c r="I42" s="40">
        <f>COUNTIF(Vertices[Out-Degree], "&gt;= " &amp; H42) - COUNTIF(Vertices[Out-Degree], "&gt;=" &amp; H43)</f>
        <v>0</v>
      </c>
      <c r="J42" s="39">
        <f t="shared" si="4"/>
        <v>0</v>
      </c>
      <c r="K42" s="40">
        <f>COUNTIF(Vertices[Betweenness Centrality], "&gt;= " &amp; J42) - COUNTIF(Vertices[Betweenness Centrality], "&gt;=" &amp; J43)</f>
        <v>0</v>
      </c>
      <c r="L42" s="39">
        <f t="shared" si="5"/>
        <v>0</v>
      </c>
      <c r="M42" s="40">
        <f>COUNTIF(Vertices[Closeness Centrality], "&gt;= " &amp; L42) - COUNTIF(Vertices[Closeness Centrality], "&gt;=" &amp; L43)</f>
        <v>0</v>
      </c>
      <c r="N42" s="39">
        <f t="shared" si="6"/>
        <v>0</v>
      </c>
      <c r="O42" s="40">
        <f>COUNTIF(Vertices[Eigenvector Centrality], "&gt;= " &amp; N42) - COUNTIF(Vertices[Eigenvector Centrality], "&gt;=" &amp; N43)</f>
        <v>0</v>
      </c>
      <c r="P42" s="39">
        <f t="shared" si="7"/>
        <v>0</v>
      </c>
      <c r="Q42" s="40">
        <f>COUNTIF(Vertices[PageRank], "&gt;= " &amp; P42) - COUNTIF(Vertices[PageRank], "&gt;=" &amp; P43)</f>
        <v>0</v>
      </c>
      <c r="R42" s="39">
        <f t="shared" si="8"/>
        <v>0</v>
      </c>
      <c r="S42" s="45">
        <f>COUNTIF(Vertices[Clustering Coefficient], "&gt;= " &amp; R42) - COUNTIF(Vertices[Clustering Coefficient], "&gt;=" &amp; R43)</f>
        <v>0</v>
      </c>
      <c r="T42" s="39" t="e">
        <f t="shared" ca="1" si="9"/>
        <v>#REF!</v>
      </c>
      <c r="U42" s="40" t="e">
        <f t="shared" ca="1" si="0"/>
        <v>#REF!</v>
      </c>
    </row>
    <row r="43" spans="1:21">
      <c r="A43" s="35" t="s">
        <v>82</v>
      </c>
      <c r="B43" s="48">
        <f>IF(COUNT(Vertices[Degree])&gt;0, D2, NoMetricMessage)</f>
        <v>1</v>
      </c>
      <c r="D43" s="34">
        <f t="shared" si="1"/>
        <v>3.8604651162790717</v>
      </c>
      <c r="E43" s="3">
        <f>COUNTIF(Vertices[Degree], "&gt;= " &amp; D43) - COUNTIF(Vertices[Degree], "&gt;=" &amp; D44)</f>
        <v>0</v>
      </c>
      <c r="F43" s="41">
        <f t="shared" si="2"/>
        <v>0</v>
      </c>
      <c r="G43" s="42">
        <f>COUNTIF(Vertices[In-Degree], "&gt;= " &amp; F43) - COUNTIF(Vertices[In-Degree], "&gt;=" &amp; F44)</f>
        <v>0</v>
      </c>
      <c r="H43" s="41">
        <f t="shared" si="3"/>
        <v>0</v>
      </c>
      <c r="I43" s="42">
        <f>COUNTIF(Vertices[Out-Degree], "&gt;= " &amp; H43) - COUNTIF(Vertices[Out-Degree], "&gt;=" &amp; H44)</f>
        <v>0</v>
      </c>
      <c r="J43" s="41">
        <f t="shared" si="4"/>
        <v>0</v>
      </c>
      <c r="K43" s="42">
        <f>COUNTIF(Vertices[Betweenness Centrality], "&gt;= " &amp; J43) - COUNTIF(Vertices[Betweenness Centrality], "&gt;=" &amp; J44)</f>
        <v>0</v>
      </c>
      <c r="L43" s="41">
        <f t="shared" si="5"/>
        <v>0</v>
      </c>
      <c r="M43" s="42">
        <f>COUNTIF(Vertices[Closeness Centrality], "&gt;= " &amp; L43) - COUNTIF(Vertices[Closeness Centrality], "&gt;=" &amp; L44)</f>
        <v>0</v>
      </c>
      <c r="N43" s="41">
        <f t="shared" si="6"/>
        <v>0</v>
      </c>
      <c r="O43" s="42">
        <f>COUNTIF(Vertices[Eigenvector Centrality], "&gt;= " &amp; N43) - COUNTIF(Vertices[Eigenvector Centrality], "&gt;=" &amp; N44)</f>
        <v>0</v>
      </c>
      <c r="P43" s="41">
        <f t="shared" si="7"/>
        <v>0</v>
      </c>
      <c r="Q43" s="42">
        <f>COUNTIF(Vertices[PageRank], "&gt;= " &amp; P43) - COUNTIF(Vertices[PageRank], "&gt;=" &amp; P44)</f>
        <v>0</v>
      </c>
      <c r="R43" s="41">
        <f t="shared" si="8"/>
        <v>0</v>
      </c>
      <c r="S43" s="46">
        <f>COUNTIF(Vertices[Clustering Coefficient], "&gt;= " &amp; R43) - COUNTIF(Vertices[Clustering Coefficient], "&gt;=" &amp; R44)</f>
        <v>0</v>
      </c>
      <c r="T43" s="41" t="e">
        <f t="shared" ca="1" si="9"/>
        <v>#REF!</v>
      </c>
      <c r="U43" s="42" t="e">
        <f t="shared" ca="1" si="0"/>
        <v>#REF!</v>
      </c>
    </row>
    <row r="44" spans="1:21">
      <c r="A44" s="35" t="s">
        <v>83</v>
      </c>
      <c r="B44" s="48">
        <f>IF(COUNT(Vertices[Degree])&gt;0, D45, NoMetricMessage)</f>
        <v>4</v>
      </c>
      <c r="D44" s="34">
        <f t="shared" si="1"/>
        <v>3.930232558139537</v>
      </c>
      <c r="E44" s="3">
        <f>COUNTIF(Vertices[Degree], "&gt;= " &amp; D44) - COUNTIF(Vertices[Degree], "&gt;=" &amp; D45)</f>
        <v>0</v>
      </c>
      <c r="F44" s="39">
        <f t="shared" si="2"/>
        <v>0</v>
      </c>
      <c r="G44" s="40">
        <f>COUNTIF(Vertices[In-Degree], "&gt;= " &amp; F44) - COUNTIF(Vertices[In-Degree], "&gt;=" &amp; F45)</f>
        <v>0</v>
      </c>
      <c r="H44" s="39">
        <f t="shared" si="3"/>
        <v>0</v>
      </c>
      <c r="I44" s="40">
        <f>COUNTIF(Vertices[Out-Degree], "&gt;= " &amp; H44) - COUNTIF(Vertices[Out-Degree], "&gt;=" &amp; H45)</f>
        <v>0</v>
      </c>
      <c r="J44" s="39">
        <f t="shared" si="4"/>
        <v>0</v>
      </c>
      <c r="K44" s="40">
        <f>COUNTIF(Vertices[Betweenness Centrality], "&gt;= " &amp; J44) - COUNTIF(Vertices[Betweenness Centrality], "&gt;=" &amp; J45)</f>
        <v>0</v>
      </c>
      <c r="L44" s="39">
        <f t="shared" si="5"/>
        <v>0</v>
      </c>
      <c r="M44" s="40">
        <f>COUNTIF(Vertices[Closeness Centrality], "&gt;= " &amp; L44) - COUNTIF(Vertices[Closeness Centrality], "&gt;=" &amp; L45)</f>
        <v>0</v>
      </c>
      <c r="N44" s="39">
        <f t="shared" si="6"/>
        <v>0</v>
      </c>
      <c r="O44" s="40">
        <f>COUNTIF(Vertices[Eigenvector Centrality], "&gt;= " &amp; N44) - COUNTIF(Vertices[Eigenvector Centrality], "&gt;=" &amp; N45)</f>
        <v>0</v>
      </c>
      <c r="P44" s="39">
        <f t="shared" si="7"/>
        <v>0</v>
      </c>
      <c r="Q44" s="40">
        <f>COUNTIF(Vertices[PageRank], "&gt;= " &amp; P44) - COUNTIF(Vertices[PageRank], "&gt;=" &amp; P45)</f>
        <v>0</v>
      </c>
      <c r="R44" s="39">
        <f t="shared" si="8"/>
        <v>0</v>
      </c>
      <c r="S44" s="45">
        <f>COUNTIF(Vertices[Clustering Coefficient], "&gt;= " &amp; R44) - COUNTIF(Vertices[Clustering Coefficient], "&gt;=" &amp; R45)</f>
        <v>0</v>
      </c>
      <c r="T44" s="39" t="e">
        <f t="shared" ca="1" si="9"/>
        <v>#REF!</v>
      </c>
      <c r="U44" s="40" t="e">
        <f t="shared" ca="1" si="0"/>
        <v>#REF!</v>
      </c>
    </row>
    <row r="45" spans="1:21">
      <c r="A45" s="35" t="s">
        <v>84</v>
      </c>
      <c r="B45" s="49">
        <f>IFERROR(AVERAGE(Vertices[Degree]),NoMetricMessage)</f>
        <v>2.4444444444444446</v>
      </c>
      <c r="D45" s="34">
        <f>MAX(Vertices[Degree])</f>
        <v>4</v>
      </c>
      <c r="E45" s="3">
        <f>COUNTIF(Vertices[Degree], "&gt;= " &amp; D45) - COUNTIF(Vertices[Degree], "&gt;=" &amp; D46)</f>
        <v>1</v>
      </c>
      <c r="F45" s="43">
        <f>MAX(Vertices[In-Degree])</f>
        <v>0</v>
      </c>
      <c r="G45" s="44">
        <f>COUNTIF(Vertices[In-Degree], "&gt;= " &amp; F45) - COUNTIF(Vertices[In-Degree], "&gt;=" &amp; F46)</f>
        <v>0</v>
      </c>
      <c r="H45" s="43">
        <f>MAX(Vertices[Out-Degree])</f>
        <v>0</v>
      </c>
      <c r="I45" s="44">
        <f>COUNTIF(Vertices[Out-Degree], "&gt;= " &amp; H45) - COUNTIF(Vertices[Out-Degree], "&gt;=" &amp; H46)</f>
        <v>0</v>
      </c>
      <c r="J45" s="43">
        <f>MAX(Vertices[Betweenness Centrality])</f>
        <v>0</v>
      </c>
      <c r="K45" s="44">
        <f>COUNTIF(Vertices[Betweenness Centrality], "&gt;= " &amp; J45) - COUNTIF(Vertices[Betweenness Centrality], "&gt;=" &amp; J46)</f>
        <v>0</v>
      </c>
      <c r="L45" s="43">
        <f>MAX(Vertices[Closeness Centrality])</f>
        <v>0</v>
      </c>
      <c r="M45" s="44">
        <f>COUNTIF(Vertices[Closeness Centrality], "&gt;= " &amp; L45) - COUNTIF(Vertices[Closeness Centrality], "&gt;=" &amp; L46)</f>
        <v>0</v>
      </c>
      <c r="N45" s="43">
        <f>MAX(Vertices[Eigenvector Centrality])</f>
        <v>0</v>
      </c>
      <c r="O45" s="44">
        <f>COUNTIF(Vertices[Eigenvector Centrality], "&gt;= " &amp; N45) - COUNTIF(Vertices[Eigenvector Centrality], "&gt;=" &amp; N46)</f>
        <v>0</v>
      </c>
      <c r="P45" s="43">
        <f>MAX(Vertices[PageRank])</f>
        <v>0</v>
      </c>
      <c r="Q45" s="44">
        <f>COUNTIF(Vertices[PageRank], "&gt;= " &amp; P45) - COUNTIF(Vertices[PageRank], "&gt;=" &amp; P46)</f>
        <v>0</v>
      </c>
      <c r="R45" s="43">
        <f>MAX(Vertices[Clustering Coefficient])</f>
        <v>0</v>
      </c>
      <c r="S45" s="47">
        <f>COUNTIF(Vertices[Clustering Coefficient], "&gt;= " &amp; R45) - COUNTIF(Vertices[Clustering Coefficient], "&gt;=" &amp; R46)</f>
        <v>0</v>
      </c>
      <c r="T45" s="43" t="e">
        <f ca="1">MAX(INDIRECT(DynamicFilterSourceColumnRange))</f>
        <v>#REF!</v>
      </c>
      <c r="U45" s="44" t="e">
        <f t="shared" ca="1" si="0"/>
        <v>#REF!</v>
      </c>
    </row>
    <row r="46" spans="1:21">
      <c r="A46" s="35" t="s">
        <v>85</v>
      </c>
      <c r="B46" s="49">
        <f>IFERROR(MEDIAN(Vertices[Degree]),NoMetricMessage)</f>
        <v>2</v>
      </c>
    </row>
    <row r="57" spans="1:2">
      <c r="A57" s="35" t="s">
        <v>89</v>
      </c>
      <c r="B57" s="48" t="str">
        <f>IF(COUNT(Vertices[In-Degree])&gt;0, F2, NoMetricMessage)</f>
        <v>Not Available</v>
      </c>
    </row>
    <row r="58" spans="1:2">
      <c r="A58" s="35" t="s">
        <v>90</v>
      </c>
      <c r="B58" s="48" t="str">
        <f>IF(COUNT(Vertices[In-Degree])&gt;0, F45, NoMetricMessage)</f>
        <v>Not Available</v>
      </c>
    </row>
    <row r="59" spans="1:2">
      <c r="A59" s="35" t="s">
        <v>91</v>
      </c>
      <c r="B59" s="49" t="str">
        <f>IFERROR(AVERAGE(Vertices[In-Degree]),NoMetricMessage)</f>
        <v>Not Available</v>
      </c>
    </row>
    <row r="60" spans="1:2">
      <c r="A60" s="35" t="s">
        <v>92</v>
      </c>
      <c r="B60" s="49" t="str">
        <f>IFERROR(MEDIAN(Vertices[In-Degree]),NoMetricMessage)</f>
        <v>Not Available</v>
      </c>
    </row>
    <row r="71" spans="1:2">
      <c r="A71" s="35" t="s">
        <v>95</v>
      </c>
      <c r="B71" s="48" t="str">
        <f>IF(COUNT(Vertices[Out-Degree])&gt;0, H2, NoMetricMessage)</f>
        <v>Not Available</v>
      </c>
    </row>
    <row r="72" spans="1:2">
      <c r="A72" s="35" t="s">
        <v>96</v>
      </c>
      <c r="B72" s="48" t="str">
        <f>IF(COUNT(Vertices[Out-Degree])&gt;0, H45, NoMetricMessage)</f>
        <v>Not Available</v>
      </c>
    </row>
    <row r="73" spans="1:2">
      <c r="A73" s="35" t="s">
        <v>97</v>
      </c>
      <c r="B73" s="49" t="str">
        <f>IFERROR(AVERAGE(Vertices[Out-Degree]),NoMetricMessage)</f>
        <v>Not Available</v>
      </c>
    </row>
    <row r="74" spans="1:2">
      <c r="A74" s="35" t="s">
        <v>98</v>
      </c>
      <c r="B74" s="49" t="str">
        <f>IFERROR(MEDIAN(Vertices[Out-Degree]),NoMetricMessage)</f>
        <v>Not Available</v>
      </c>
    </row>
    <row r="85" spans="1:2">
      <c r="A85" s="35" t="s">
        <v>101</v>
      </c>
      <c r="B85" s="49" t="str">
        <f>IF(COUNT(Vertices[Betweenness Centrality])&gt;0, J2, NoMetricMessage)</f>
        <v>Not Available</v>
      </c>
    </row>
    <row r="86" spans="1:2">
      <c r="A86" s="35" t="s">
        <v>102</v>
      </c>
      <c r="B86" s="49" t="str">
        <f>IF(COUNT(Vertices[Betweenness Centrality])&gt;0, J45, NoMetricMessage)</f>
        <v>Not Available</v>
      </c>
    </row>
    <row r="87" spans="1:2">
      <c r="A87" s="35" t="s">
        <v>103</v>
      </c>
      <c r="B87" s="49" t="str">
        <f>IFERROR(AVERAGE(Vertices[Betweenness Centrality]),NoMetricMessage)</f>
        <v>Not Available</v>
      </c>
    </row>
    <row r="88" spans="1:2">
      <c r="A88" s="35" t="s">
        <v>104</v>
      </c>
      <c r="B88" s="49" t="str">
        <f>IFERROR(MEDIAN(Vertices[Betweenness Centrality]),NoMetricMessage)</f>
        <v>Not Available</v>
      </c>
    </row>
    <row r="99" spans="1:2">
      <c r="A99" s="35" t="s">
        <v>107</v>
      </c>
      <c r="B99" s="49" t="str">
        <f>IF(COUNT(Vertices[Closeness Centrality])&gt;0, L2, NoMetricMessage)</f>
        <v>Not Available</v>
      </c>
    </row>
    <row r="100" spans="1:2">
      <c r="A100" s="35" t="s">
        <v>108</v>
      </c>
      <c r="B100" s="49" t="str">
        <f>IF(COUNT(Vertices[Closeness Centrality])&gt;0, L45, NoMetricMessage)</f>
        <v>Not Available</v>
      </c>
    </row>
    <row r="101" spans="1:2">
      <c r="A101" s="35" t="s">
        <v>109</v>
      </c>
      <c r="B101" s="49" t="str">
        <f>IFERROR(AVERAGE(Vertices[Closeness Centrality]),NoMetricMessage)</f>
        <v>Not Available</v>
      </c>
    </row>
    <row r="102" spans="1:2">
      <c r="A102" s="35" t="s">
        <v>110</v>
      </c>
      <c r="B102" s="49" t="str">
        <f>IFERROR(MEDIAN(Vertices[Closeness Centrality]),NoMetricMessage)</f>
        <v>Not Available</v>
      </c>
    </row>
    <row r="113" spans="1:2">
      <c r="A113" s="35" t="s">
        <v>113</v>
      </c>
      <c r="B113" s="49" t="str">
        <f>IF(COUNT(Vertices[Eigenvector Centrality])&gt;0, N2, NoMetricMessage)</f>
        <v>Not Available</v>
      </c>
    </row>
    <row r="114" spans="1:2">
      <c r="A114" s="35" t="s">
        <v>114</v>
      </c>
      <c r="B114" s="49" t="str">
        <f>IF(COUNT(Vertices[Eigenvector Centrality])&gt;0, N45, NoMetricMessage)</f>
        <v>Not Available</v>
      </c>
    </row>
    <row r="115" spans="1:2">
      <c r="A115" s="35" t="s">
        <v>115</v>
      </c>
      <c r="B115" s="49" t="str">
        <f>IFERROR(AVERAGE(Vertices[Eigenvector Centrality]),NoMetricMessage)</f>
        <v>Not Available</v>
      </c>
    </row>
    <row r="116" spans="1:2">
      <c r="A116" s="35" t="s">
        <v>116</v>
      </c>
      <c r="B116" s="49" t="str">
        <f>IFERROR(MEDIAN(Vertices[Eigenvector Centrality]),NoMetricMessage)</f>
        <v>Not Available</v>
      </c>
    </row>
    <row r="127" spans="1:2">
      <c r="A127" s="35" t="s">
        <v>141</v>
      </c>
      <c r="B127" s="49" t="str">
        <f>IF(COUNT(Vertices[PageRank])&gt;0, P2, NoMetricMessage)</f>
        <v>Not Available</v>
      </c>
    </row>
    <row r="128" spans="1:2">
      <c r="A128" s="35" t="s">
        <v>142</v>
      </c>
      <c r="B128" s="49" t="str">
        <f>IF(COUNT(Vertices[PageRank])&gt;0, P45, NoMetricMessage)</f>
        <v>Not Available</v>
      </c>
    </row>
    <row r="129" spans="1:2">
      <c r="A129" s="35" t="s">
        <v>143</v>
      </c>
      <c r="B129" s="49" t="str">
        <f>IFERROR(AVERAGE(Vertices[PageRank]),NoMetricMessage)</f>
        <v>Not Available</v>
      </c>
    </row>
    <row r="130" spans="1:2">
      <c r="A130" s="35" t="s">
        <v>144</v>
      </c>
      <c r="B130" s="49" t="str">
        <f>IFERROR(MEDIAN(Vertices[PageRank]),NoMetricMessage)</f>
        <v>Not Available</v>
      </c>
    </row>
    <row r="141" spans="1:2">
      <c r="A141" s="35" t="s">
        <v>119</v>
      </c>
      <c r="B141" s="49" t="str">
        <f>IF(COUNT(Vertices[Clustering Coefficient])&gt;0, R2, NoMetricMessage)</f>
        <v>Not Available</v>
      </c>
    </row>
    <row r="142" spans="1:2">
      <c r="A142" s="35" t="s">
        <v>120</v>
      </c>
      <c r="B142" s="49" t="str">
        <f>IF(COUNT(Vertices[Clustering Coefficient])&gt;0, R45, NoMetricMessage)</f>
        <v>Not Available</v>
      </c>
    </row>
    <row r="143" spans="1:2">
      <c r="A143" s="35" t="s">
        <v>121</v>
      </c>
      <c r="B143" s="49" t="str">
        <f>IFERROR(AVERAGE(Vertices[Clustering Coefficient]),NoMetricMessage)</f>
        <v>Not Available</v>
      </c>
    </row>
    <row r="144" spans="1:2">
      <c r="A144" s="35" t="s">
        <v>122</v>
      </c>
      <c r="B144" s="49" t="str">
        <f>IFERROR(MEDIAN(Vertices[Clustering Coefficient]),NoMetricMessage)</f>
        <v>Not Available</v>
      </c>
    </row>
  </sheetData>
  <dataConsolidate/>
  <pageMargins left="0.7" right="0.7" top="0.75" bottom="0.75" header="0.3" footer="0.3"/>
  <pageSetup orientation="portrait" horizontalDpi="0" verticalDpi="0" r:id="rId1"/>
  <drawing r:id="rId2"/>
  <legacyDrawing r:id="rId3"/>
  <tableParts count="4">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sheetPr codeName="Sheet4"/>
  <dimension ref="A1:R23"/>
  <sheetViews>
    <sheetView workbookViewId="0">
      <selection activeCell="A2" sqref="A2"/>
    </sheetView>
  </sheetViews>
  <sheetFormatPr baseColWidth="10" defaultColWidth="9.140625" defaultRowHeight="15"/>
  <cols>
    <col min="1" max="1" width="10.42578125" style="1" bestFit="1" customWidth="1"/>
    <col min="2" max="2" width="12.42578125" style="1" bestFit="1" customWidth="1"/>
    <col min="3" max="3" width="22.85546875" bestFit="1" customWidth="1"/>
    <col min="4" max="4" width="16.85546875" bestFit="1" customWidth="1"/>
    <col min="5" max="6" width="16.85546875" customWidth="1"/>
    <col min="7" max="7" width="14.28515625" bestFit="1" customWidth="1"/>
    <col min="8" max="8" width="14.28515625" customWidth="1"/>
    <col min="10" max="10" width="39.140625" bestFit="1" customWidth="1"/>
    <col min="11" max="11" width="10.85546875" bestFit="1" customWidth="1"/>
    <col min="13" max="13" width="8.42578125" bestFit="1" customWidth="1"/>
    <col min="14" max="14" width="10" bestFit="1" customWidth="1"/>
    <col min="15" max="15" width="11.85546875" bestFit="1" customWidth="1"/>
    <col min="16" max="16" width="12.140625" bestFit="1" customWidth="1"/>
  </cols>
  <sheetData>
    <row r="1" spans="1:18"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8">
      <c r="A2" s="1" t="s">
        <v>52</v>
      </c>
      <c r="B2" s="1" t="s">
        <v>133</v>
      </c>
      <c r="C2" t="s">
        <v>55</v>
      </c>
      <c r="D2" t="s">
        <v>56</v>
      </c>
      <c r="E2" t="s">
        <v>56</v>
      </c>
      <c r="F2" s="1" t="s">
        <v>52</v>
      </c>
      <c r="G2" t="s">
        <v>66</v>
      </c>
      <c r="H2" t="s">
        <v>160</v>
      </c>
      <c r="J2" t="s">
        <v>19</v>
      </c>
      <c r="K2">
        <v>105</v>
      </c>
    </row>
    <row r="3" spans="1:18">
      <c r="A3" s="1" t="s">
        <v>53</v>
      </c>
      <c r="B3" s="1" t="s">
        <v>134</v>
      </c>
      <c r="C3" t="s">
        <v>53</v>
      </c>
      <c r="D3" t="s">
        <v>57</v>
      </c>
      <c r="E3" t="s">
        <v>57</v>
      </c>
      <c r="F3" s="1" t="s">
        <v>53</v>
      </c>
      <c r="G3" t="s">
        <v>67</v>
      </c>
      <c r="H3" t="s">
        <v>69</v>
      </c>
      <c r="J3" t="s">
        <v>30</v>
      </c>
      <c r="K3" t="s">
        <v>31</v>
      </c>
    </row>
    <row r="4" spans="1:18">
      <c r="A4" s="1" t="s">
        <v>54</v>
      </c>
      <c r="B4" s="1" t="s">
        <v>135</v>
      </c>
      <c r="C4" t="s">
        <v>54</v>
      </c>
      <c r="D4" t="s">
        <v>58</v>
      </c>
      <c r="E4" t="s">
        <v>58</v>
      </c>
      <c r="F4" s="1" t="s">
        <v>54</v>
      </c>
      <c r="G4">
        <v>0</v>
      </c>
      <c r="H4" t="s">
        <v>70</v>
      </c>
      <c r="J4" s="12" t="s">
        <v>79</v>
      </c>
      <c r="K4" s="12"/>
    </row>
    <row r="5" spans="1:18" ht="409.5">
      <c r="A5">
        <v>1</v>
      </c>
      <c r="B5" s="1" t="s">
        <v>136</v>
      </c>
      <c r="C5" t="s">
        <v>52</v>
      </c>
      <c r="D5" t="s">
        <v>59</v>
      </c>
      <c r="E5" t="s">
        <v>59</v>
      </c>
      <c r="F5">
        <v>1</v>
      </c>
      <c r="G5">
        <v>1</v>
      </c>
      <c r="H5" t="s">
        <v>71</v>
      </c>
      <c r="J5" s="12" t="s">
        <v>173</v>
      </c>
      <c r="K5" s="80" t="s">
        <v>200</v>
      </c>
    </row>
    <row r="6" spans="1:18">
      <c r="A6">
        <v>0</v>
      </c>
      <c r="B6" s="1" t="s">
        <v>137</v>
      </c>
      <c r="C6">
        <v>1</v>
      </c>
      <c r="D6" t="s">
        <v>60</v>
      </c>
      <c r="E6" t="s">
        <v>60</v>
      </c>
      <c r="F6">
        <v>0</v>
      </c>
      <c r="H6" t="s">
        <v>72</v>
      </c>
      <c r="J6" s="12" t="s">
        <v>174</v>
      </c>
      <c r="K6" s="12">
        <v>2</v>
      </c>
      <c r="R6" t="s">
        <v>130</v>
      </c>
    </row>
    <row r="7" spans="1:18">
      <c r="A7">
        <v>2</v>
      </c>
      <c r="B7">
        <v>1</v>
      </c>
      <c r="C7">
        <v>0</v>
      </c>
      <c r="D7" t="s">
        <v>61</v>
      </c>
      <c r="E7" t="s">
        <v>61</v>
      </c>
      <c r="F7">
        <v>2</v>
      </c>
      <c r="H7" t="s">
        <v>73</v>
      </c>
      <c r="J7" s="12" t="s">
        <v>184</v>
      </c>
      <c r="K7" s="12" t="s">
        <v>185</v>
      </c>
    </row>
    <row r="8" spans="1:18">
      <c r="A8"/>
      <c r="B8">
        <v>2</v>
      </c>
      <c r="C8">
        <v>2</v>
      </c>
      <c r="D8" t="s">
        <v>62</v>
      </c>
      <c r="E8" t="s">
        <v>62</v>
      </c>
      <c r="H8" t="s">
        <v>74</v>
      </c>
      <c r="J8" s="12" t="s">
        <v>195</v>
      </c>
      <c r="K8" s="12" t="s">
        <v>199</v>
      </c>
    </row>
    <row r="9" spans="1:18" ht="409.5">
      <c r="A9"/>
      <c r="B9">
        <v>3</v>
      </c>
      <c r="C9">
        <v>4</v>
      </c>
      <c r="D9" t="s">
        <v>63</v>
      </c>
      <c r="E9" t="s">
        <v>63</v>
      </c>
      <c r="H9" t="s">
        <v>75</v>
      </c>
      <c r="J9" s="12" t="s">
        <v>196</v>
      </c>
      <c r="K9" s="80" t="s">
        <v>201</v>
      </c>
    </row>
    <row r="10" spans="1:18">
      <c r="A10"/>
      <c r="B10">
        <v>4</v>
      </c>
      <c r="D10" t="s">
        <v>64</v>
      </c>
      <c r="E10" t="s">
        <v>64</v>
      </c>
      <c r="H10" t="s">
        <v>76</v>
      </c>
    </row>
    <row r="11" spans="1:18">
      <c r="A11"/>
      <c r="B11">
        <v>5</v>
      </c>
      <c r="D11" t="s">
        <v>47</v>
      </c>
      <c r="E11">
        <v>1</v>
      </c>
      <c r="H11" t="s">
        <v>77</v>
      </c>
    </row>
    <row r="12" spans="1:18">
      <c r="A12"/>
      <c r="B12"/>
      <c r="D12" t="s">
        <v>65</v>
      </c>
      <c r="E12">
        <v>2</v>
      </c>
      <c r="H12">
        <v>0</v>
      </c>
    </row>
    <row r="13" spans="1:18">
      <c r="A13"/>
      <c r="B13"/>
      <c r="D13">
        <v>1</v>
      </c>
      <c r="E13">
        <v>3</v>
      </c>
      <c r="H13">
        <v>1</v>
      </c>
    </row>
    <row r="14" spans="1:18">
      <c r="D14">
        <v>2</v>
      </c>
      <c r="E14">
        <v>4</v>
      </c>
      <c r="H14">
        <v>2</v>
      </c>
    </row>
    <row r="15" spans="1:18">
      <c r="D15">
        <v>3</v>
      </c>
      <c r="E15">
        <v>5</v>
      </c>
      <c r="H15">
        <v>3</v>
      </c>
    </row>
    <row r="16" spans="1:18">
      <c r="D16">
        <v>4</v>
      </c>
      <c r="E16">
        <v>6</v>
      </c>
      <c r="H16">
        <v>4</v>
      </c>
    </row>
    <row r="17" spans="4:8">
      <c r="D17">
        <v>5</v>
      </c>
      <c r="E17">
        <v>7</v>
      </c>
      <c r="H17">
        <v>5</v>
      </c>
    </row>
    <row r="18" spans="4:8">
      <c r="D18">
        <v>6</v>
      </c>
      <c r="E18">
        <v>8</v>
      </c>
      <c r="H18">
        <v>6</v>
      </c>
    </row>
    <row r="19" spans="4:8">
      <c r="D19">
        <v>7</v>
      </c>
      <c r="E19">
        <v>9</v>
      </c>
      <c r="H19">
        <v>7</v>
      </c>
    </row>
    <row r="20" spans="4:8">
      <c r="D20">
        <v>8</v>
      </c>
      <c r="H20">
        <v>8</v>
      </c>
    </row>
    <row r="21" spans="4:8">
      <c r="D21">
        <v>9</v>
      </c>
      <c r="H21">
        <v>9</v>
      </c>
    </row>
    <row r="22" spans="4:8">
      <c r="D22">
        <v>10</v>
      </c>
    </row>
    <row r="23" spans="4:8">
      <c r="D23">
        <v>11</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13</vt:i4>
      </vt:variant>
    </vt:vector>
  </HeadingPairs>
  <TitlesOfParts>
    <vt:vector size="20" baseType="lpstr">
      <vt:lpstr>Edges</vt:lpstr>
      <vt:lpstr>Vertices</vt:lpstr>
      <vt:lpstr>Do Not Delete</vt:lpstr>
      <vt:lpstr>Groups</vt:lpstr>
      <vt:lpstr>Group Vertices</vt:lpstr>
      <vt:lpstr>Overall Metrics</vt:lpstr>
      <vt:lpstr>Misc</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ValidGroupShapes</vt:lpstr>
      <vt:lpstr>ValidGroupVisibilities</vt:lpstr>
      <vt:lpstr>ValidVertexLabelPositions</vt:lpstr>
      <vt:lpstr>ValidVertexShapes</vt:lpstr>
      <vt:lpstr>ValidVertexVisibilities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Mercklé</dc:creator>
  <cp:lastModifiedBy>Pierre Mercklé</cp:lastModifiedBy>
  <dcterms:created xsi:type="dcterms:W3CDTF">2008-01-30T00:41:58Z</dcterms:created>
  <dcterms:modified xsi:type="dcterms:W3CDTF">2013-07-02T14:18:30Z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